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<sst xmlns="http://schemas.openxmlformats.org/spreadsheetml/2006/main" count="149" uniqueCount="99">
  <si>
    <t>Example problem: Matching fan to flow requirements</t>
  </si>
  <si>
    <t>J. M. Cimbala, March 2002</t>
  </si>
  <si>
    <t>Fan performance data:</t>
  </si>
  <si>
    <t>Q (SCFM)</t>
  </si>
  <si>
    <t xml:space="preserve"> = </t>
  </si>
  <si>
    <r>
      <t>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</si>
  <si>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in</t>
  </si>
  <si>
    <t>m</t>
  </si>
  <si>
    <t xml:space="preserve">A = </t>
  </si>
  <si>
    <r>
      <t>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</si>
  <si>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</si>
  <si>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e</t>
    </r>
    <r>
      <rPr>
        <sz val="10"/>
        <rFont val="Arial"/>
        <family val="0"/>
      </rPr>
      <t xml:space="preserve"> = </t>
    </r>
  </si>
  <si>
    <t>ft</t>
  </si>
  <si>
    <t xml:space="preserve">L = </t>
  </si>
  <si>
    <r>
      <t>S</t>
    </r>
    <r>
      <rPr>
        <sz val="10"/>
        <rFont val="Arial"/>
        <family val="0"/>
      </rPr>
      <t xml:space="preserve">K = </t>
    </r>
  </si>
  <si>
    <t>total loss coefficient</t>
  </si>
  <si>
    <r>
      <t>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P)</t>
    </r>
    <r>
      <rPr>
        <b/>
        <vertAlign val="subscript"/>
        <sz val="10"/>
        <rFont val="Arial"/>
        <family val="2"/>
      </rPr>
      <t>fan</t>
    </r>
    <r>
      <rPr>
        <b/>
        <sz val="10"/>
        <rFont val="Arial"/>
        <family val="2"/>
      </rPr>
      <t xml:space="preserve"> (in. water)</t>
    </r>
  </si>
  <si>
    <t>Duct and fittings:</t>
  </si>
  <si>
    <t xml:space="preserve">D = </t>
  </si>
  <si>
    <t>inner ID of duct</t>
  </si>
  <si>
    <t>inner cross-sectional area of duct</t>
  </si>
  <si>
    <t>mm</t>
  </si>
  <si>
    <t>equivalent inner roughness height of duct</t>
  </si>
  <si>
    <r>
      <t>e</t>
    </r>
    <r>
      <rPr>
        <sz val="10"/>
        <rFont val="Arial"/>
        <family val="0"/>
      </rPr>
      <t xml:space="preserve">/D = </t>
    </r>
  </si>
  <si>
    <t>roughness factor for inside of duct</t>
  </si>
  <si>
    <t>loss coefficient for hood entry</t>
  </si>
  <si>
    <t>loss coefficient for elbow</t>
  </si>
  <si>
    <r>
      <t>total C</t>
    </r>
    <r>
      <rPr>
        <b/>
        <vertAlign val="subscript"/>
        <sz val="10"/>
        <rFont val="Arial"/>
        <family val="2"/>
      </rPr>
      <t>0</t>
    </r>
  </si>
  <si>
    <t>minor losses</t>
  </si>
  <si>
    <t>quantity</t>
  </si>
  <si>
    <r>
      <t>C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per unit</t>
    </r>
  </si>
  <si>
    <t>hood entry</t>
  </si>
  <si>
    <t>elbow</t>
  </si>
  <si>
    <t>other</t>
  </si>
  <si>
    <t>loss coefficient for other</t>
  </si>
  <si>
    <t>Calculations: Predict pressure drop through duct for a variety of volume flow rates</t>
  </si>
  <si>
    <t>Re</t>
  </si>
  <si>
    <t>Given parameters for the air and the duct:</t>
  </si>
  <si>
    <t>Air:</t>
  </si>
  <si>
    <r>
      <t>R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</t>
    </r>
  </si>
  <si>
    <t>KJ/(kmol K)</t>
  </si>
  <si>
    <t>J/(kmol K)</t>
  </si>
  <si>
    <t>universal gas constant</t>
  </si>
  <si>
    <r>
      <t>o</t>
    </r>
    <r>
      <rPr>
        <sz val="10"/>
        <rFont val="Arial"/>
        <family val="0"/>
      </rPr>
      <t>C</t>
    </r>
  </si>
  <si>
    <t>K</t>
  </si>
  <si>
    <r>
      <t>P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0"/>
      </rPr>
      <t xml:space="preserve"> = </t>
    </r>
  </si>
  <si>
    <t>atmospheric air pressure</t>
  </si>
  <si>
    <t>cm Hg</t>
  </si>
  <si>
    <t xml:space="preserve">M = </t>
  </si>
  <si>
    <t>kg/kmol</t>
  </si>
  <si>
    <r>
      <t>m</t>
    </r>
    <r>
      <rPr>
        <sz val="10"/>
        <rFont val="Arial"/>
        <family val="0"/>
      </rPr>
      <t xml:space="preserve"> = </t>
    </r>
  </si>
  <si>
    <t>kg/(m s)</t>
  </si>
  <si>
    <r>
      <t>r</t>
    </r>
    <r>
      <rPr>
        <sz val="10"/>
        <rFont val="Arial"/>
        <family val="0"/>
      </rPr>
      <t xml:space="preserve"> = </t>
    </r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</si>
  <si>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</si>
  <si>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>molecular weight of air</t>
  </si>
  <si>
    <r>
      <t>T</t>
    </r>
    <r>
      <rPr>
        <sz val="10"/>
        <rFont val="Arial"/>
        <family val="0"/>
      </rPr>
      <t xml:space="preserve"> = </t>
    </r>
  </si>
  <si>
    <t>air temperature</t>
  </si>
  <si>
    <t>S =</t>
  </si>
  <si>
    <t>Sutherland law temperature, S</t>
  </si>
  <si>
    <r>
      <t>Sutherland law reference temperature,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</si>
  <si>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</si>
  <si>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</si>
  <si>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 xml:space="preserve">Sutherland law reference viscosity,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</si>
  <si>
    <t>density of air (ideal gas law)</t>
  </si>
  <si>
    <t>viscosity of air (Sutherland law)</t>
  </si>
  <si>
    <r>
      <t>n</t>
    </r>
    <r>
      <rPr>
        <sz val="10"/>
        <rFont val="Arial"/>
        <family val="0"/>
      </rPr>
      <t xml:space="preserve"> =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</si>
  <si>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</si>
  <si>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t>kinematic viscosity of air</t>
  </si>
  <si>
    <t>length of duct</t>
  </si>
  <si>
    <r>
      <t>e</t>
    </r>
    <r>
      <rPr>
        <b/>
        <sz val="10"/>
        <rFont val="Arial"/>
        <family val="0"/>
      </rPr>
      <t>/D</t>
    </r>
  </si>
  <si>
    <t>f (Moody chart)</t>
  </si>
  <si>
    <r>
      <t>Q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/s)</t>
    </r>
  </si>
  <si>
    <t>Q (CFM)</t>
  </si>
  <si>
    <t>U (m/s)</t>
  </si>
  <si>
    <t>laminar</t>
  </si>
  <si>
    <t>turbulent</t>
  </si>
  <si>
    <t>final f</t>
  </si>
  <si>
    <t>denom</t>
  </si>
  <si>
    <r>
      <t>f</t>
    </r>
    <r>
      <rPr>
        <b/>
        <vertAlign val="subscript"/>
        <sz val="10"/>
        <rFont val="Arial"/>
        <family val="2"/>
      </rPr>
      <t>guess</t>
    </r>
    <r>
      <rPr>
        <b/>
        <sz val="10"/>
        <rFont val="Arial"/>
        <family val="2"/>
      </rPr>
      <t xml:space="preserve"> </t>
    </r>
  </si>
  <si>
    <t>G(f)</t>
  </si>
  <si>
    <t>G'(f)</t>
  </si>
  <si>
    <t>new f</t>
  </si>
  <si>
    <t>Calculation of Moody chart friction factor</t>
  </si>
  <si>
    <r>
      <t>f</t>
    </r>
    <r>
      <rPr>
        <b/>
        <vertAlign val="subscript"/>
        <sz val="10"/>
        <rFont val="Arial"/>
        <family val="2"/>
      </rPr>
      <t>laminar</t>
    </r>
    <r>
      <rPr>
        <b/>
        <sz val="10"/>
        <rFont val="Arial"/>
        <family val="2"/>
      </rPr>
      <t xml:space="preserve"> </t>
    </r>
  </si>
  <si>
    <r>
      <t>f</t>
    </r>
    <r>
      <rPr>
        <b/>
        <vertAlign val="subscript"/>
        <sz val="10"/>
        <rFont val="Arial"/>
        <family val="2"/>
      </rPr>
      <t>turbulent</t>
    </r>
    <r>
      <rPr>
        <b/>
        <sz val="10"/>
        <rFont val="Arial"/>
        <family val="2"/>
      </rPr>
      <t xml:space="preserve"> </t>
    </r>
  </si>
  <si>
    <r>
      <t>D</t>
    </r>
    <r>
      <rPr>
        <b/>
        <sz val="10"/>
        <rFont val="Times New Roman"/>
        <family val="1"/>
      </rPr>
      <t>P</t>
    </r>
    <r>
      <rPr>
        <b/>
        <vertAlign val="subscript"/>
        <sz val="10"/>
        <rFont val="Times New Roman"/>
        <family val="1"/>
      </rPr>
      <t>total</t>
    </r>
    <r>
      <rPr>
        <b/>
        <sz val="10"/>
        <rFont val="Times New Roman"/>
        <family val="1"/>
      </rPr>
      <t xml:space="preserve"> (N/m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</si>
  <si>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D</t>
    </r>
    <r>
      <rPr>
        <b/>
        <sz val="10"/>
        <rFont val="Times New Roman"/>
        <family val="1"/>
      </rPr>
      <t>P</t>
    </r>
    <r>
      <rPr>
        <b/>
        <vertAlign val="subscript"/>
        <sz val="10"/>
        <rFont val="Times New Roman"/>
        <family val="1"/>
      </rPr>
      <t>minor</t>
    </r>
    <r>
      <rPr>
        <b/>
        <sz val="10"/>
        <rFont val="Times New Roman"/>
        <family val="1"/>
      </rPr>
      <t xml:space="preserve"> (N/m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</si>
  <si>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D</t>
    </r>
    <r>
      <rPr>
        <b/>
        <sz val="10"/>
        <rFont val="Times New Roman"/>
        <family val="1"/>
      </rPr>
      <t>P</t>
    </r>
    <r>
      <rPr>
        <b/>
        <vertAlign val="subscript"/>
        <sz val="10"/>
        <rFont val="Times New Roman"/>
        <family val="1"/>
      </rPr>
      <t>major</t>
    </r>
    <r>
      <rPr>
        <b/>
        <sz val="10"/>
        <rFont val="Times New Roman"/>
        <family val="1"/>
      </rPr>
      <t xml:space="preserve"> (N/m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</si>
  <si>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VP (N/m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</si>
  <si>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D</t>
    </r>
    <r>
      <rPr>
        <b/>
        <sz val="10"/>
        <rFont val="Times New Roman"/>
        <family val="1"/>
      </rPr>
      <t>P</t>
    </r>
    <r>
      <rPr>
        <b/>
        <vertAlign val="subscript"/>
        <sz val="10"/>
        <rFont val="Times New Roman"/>
        <family val="1"/>
      </rPr>
      <t>total</t>
    </r>
    <r>
      <rPr>
        <b/>
        <sz val="10"/>
        <rFont val="Times New Roman"/>
        <family val="1"/>
      </rPr>
      <t xml:space="preserve"> (in. water)</t>
    </r>
  </si>
  <si>
    <t>Standard SI units</t>
  </si>
  <si>
    <t>Constants:</t>
  </si>
  <si>
    <t xml:space="preserve">g = </t>
  </si>
  <si>
    <r>
      <t>m/s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</si>
  <si>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gravitational constant</t>
  </si>
  <si>
    <r>
      <t>r</t>
    </r>
    <r>
      <rPr>
        <vertAlign val="subscript"/>
        <sz val="10"/>
        <rFont val="Arial"/>
        <family val="2"/>
      </rPr>
      <t>water</t>
    </r>
    <r>
      <rPr>
        <sz val="10"/>
        <rFont val="Arial"/>
        <family val="0"/>
      </rPr>
      <t xml:space="preserve"> = </t>
    </r>
  </si>
  <si>
    <t>density of liquid water</t>
  </si>
  <si>
    <r>
      <t>Re</t>
    </r>
    <r>
      <rPr>
        <b/>
        <vertAlign val="subscript"/>
        <sz val="10"/>
        <rFont val="Arial"/>
        <family val="2"/>
      </rPr>
      <t>critical</t>
    </r>
    <r>
      <rPr>
        <b/>
        <sz val="10"/>
        <rFont val="Arial"/>
        <family val="2"/>
      </rPr>
      <t xml:space="preserve"> = </t>
    </r>
  </si>
  <si>
    <t>for the book: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</si>
</sst>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Symbol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(dP)fan (available)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Sheet1!$A$7:$A$12</c:f>
              <c:numCache/>
            </c:numRef>
          </c:xVal>
          <c:yVal>
            <c:numRef>
              <c:f>Sheet1!$B$7:$B$12</c:f>
              <c:numCache/>
            </c:numRef>
          </c:yVal>
          <c:smooth val="1"/>
        </c:ser>
        <c:ser>
          <c:idx val="1"/>
          <c:order val="1"/>
          <c:tx>
            <c:v>(dP)fan (required)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Sheet1!$A$60:$A$72</c:f>
              <c:numCache/>
            </c:numRef>
          </c:xVal>
          <c:yVal>
            <c:numRef>
              <c:f>Sheet1!$K$60:$K$72</c:f>
              <c:numCache/>
            </c:numRef>
          </c:yVal>
          <c:smooth val="1"/>
        </c:ser>
        <c:axId val="20305933"/>
        <c:axId val="48535670"/>
      </c:scatterChart>
      <c:valAx>
        <c:axId val="20305933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Q (SCFM)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8535670"/>
        <c:crossesAt val="-1000"/>
        <c:crossBetween val="midCat"/>
        <c:dispUnits/>
      </c:valAx>
      <c:valAx>
        <c:axId val="485356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Pfan (inches of water)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20305933"/>
        <c:crossesAt val="-10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(dP)fan (available)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Sheet1!$A$7:$A$12</c:f>
              <c:numCache/>
            </c:numRef>
          </c:xVal>
          <c:yVal>
            <c:numRef>
              <c:f>Sheet1!$B$7:$B$12</c:f>
              <c:numCache/>
            </c:numRef>
          </c:yVal>
          <c:smooth val="1"/>
        </c:ser>
        <c:ser>
          <c:idx val="1"/>
          <c:order val="1"/>
          <c:tx>
            <c:v>(dP)fan (required)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Sheet1!$A$60:$A$72</c:f>
              <c:numCache/>
            </c:numRef>
          </c:xVal>
          <c:yVal>
            <c:numRef>
              <c:f>Sheet1!$K$60:$K$72</c:f>
              <c:numCache/>
            </c:numRef>
          </c:yVal>
          <c:smooth val="1"/>
        </c:ser>
        <c:axId val="34167847"/>
        <c:axId val="39075168"/>
      </c:scatterChart>
      <c:valAx>
        <c:axId val="34167847"/>
        <c:scaling>
          <c:orientation val="minMax"/>
          <c:max val="1200"/>
        </c:scaling>
        <c:axPos val="b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9075168"/>
        <c:crossesAt val="-1000"/>
        <c:crossBetween val="midCat"/>
        <c:dispUnits/>
      </c:valAx>
      <c:valAx>
        <c:axId val="39075168"/>
        <c:scaling>
          <c:orientation val="minMax"/>
          <c:max val="1"/>
        </c:scaling>
        <c:axPos val="l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4167847"/>
        <c:crossesAt val="-10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2</xdr:row>
      <xdr:rowOff>152400</xdr:rowOff>
    </xdr:from>
    <xdr:ext cx="4419600" cy="2895600"/>
    <xdr:graphicFrame>
      <xdr:nvGraphicFramePr>
        <xdr:cNvPr id="1" name="Chart 1"/>
        <xdr:cNvGraphicFramePr/>
      </xdr:nvGraphicFramePr>
      <xdr:xfrm>
        <a:off x="3114675" y="476250"/>
        <a:ext cx="4419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133350</xdr:colOff>
      <xdr:row>3</xdr:row>
      <xdr:rowOff>0</xdr:rowOff>
    </xdr:from>
    <xdr:ext cx="4429125" cy="2905125"/>
    <xdr:graphicFrame>
      <xdr:nvGraphicFramePr>
        <xdr:cNvPr id="2" name="Chart 2"/>
        <xdr:cNvGraphicFramePr/>
      </xdr:nvGraphicFramePr>
      <xdr:xfrm>
        <a:off x="7715250" y="485775"/>
        <a:ext cx="44291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workbookViewId="0" topLeftCell="E1">
      <selection activeCell="P15" sqref="P15"/>
    </sheetView>
  </sheetViews>
  <sheetFormatPr defaultColWidth="9.140625" defaultRowHeight="12.75"/>
  <cols>
    <col min="1" max="1" width="13.57421875" style="1" customWidth="1"/>
    <col min="2" max="2" width="17.00390625" style="1" customWidth="1"/>
    <col min="3" max="3" width="10.57421875" style="1" customWidth="1"/>
    <col min="4" max="4" width="9.140625" style="1" customWidth="1"/>
    <col min="5" max="5" width="13.00390625" style="1" customWidth="1"/>
    <col min="6" max="6" width="13.7109375" style="1" customWidth="1"/>
    <col min="7" max="7" width="9.8515625" style="1" customWidth="1"/>
    <col min="8" max="8" width="13.57421875" style="1" customWidth="1"/>
    <col min="9" max="9" width="13.28125" style="1" customWidth="1"/>
    <col min="10" max="10" width="12.00390625" style="1" customWidth="1"/>
    <col min="11" max="11" width="14.421875" style="1" customWidth="1"/>
    <col min="12" max="16384" width="9.140625" style="1" customWidth="1"/>
  </cols>
  <sheetData>
    <row r="1" spans="1:2" s="2" customFormat="1" ht="12.75">
      <c r="A1" s="8" t="s">
        <v>0</v>
      </c>
      <c r="B1" s="8"/>
    </row>
    <row r="2" spans="1:10" s="2" customFormat="1" ht="12.75">
      <c r="A2" s="8" t="s">
        <v>1</v>
      </c>
      <c r="B2" s="8"/>
      <c r="J2" s="2" t="s">
        <v>98</v>
      </c>
    </row>
    <row r="3" spans="1:2" ht="12.75">
      <c r="A3" s="9"/>
      <c r="B3" s="9"/>
    </row>
    <row r="4" spans="1:2" s="2" customFormat="1" ht="12.75">
      <c r="A4" s="8" t="s">
        <v>2</v>
      </c>
      <c r="B4" s="8"/>
    </row>
    <row r="5" spans="1:2" s="2" customFormat="1" ht="12.75">
      <c r="A5" s="8"/>
      <c r="B5" s="8"/>
    </row>
    <row r="6" spans="1:2" s="3" customFormat="1" ht="15.75">
      <c r="A6" s="10" t="s">
        <v>3</v>
      </c>
      <c r="B6" s="10" t="s">
        <v>16</v>
      </c>
    </row>
    <row r="7" spans="1:2" ht="12.75">
      <c r="A7" s="9">
        <v>0</v>
      </c>
      <c r="B7" s="9">
        <v>0.9</v>
      </c>
    </row>
    <row r="8" spans="1:2" ht="12.75">
      <c r="A8" s="9">
        <v>250</v>
      </c>
      <c r="B8" s="9">
        <v>0.95</v>
      </c>
    </row>
    <row r="9" spans="1:2" ht="12.75">
      <c r="A9" s="9">
        <v>500</v>
      </c>
      <c r="B9" s="9">
        <v>0.9</v>
      </c>
    </row>
    <row r="10" spans="1:2" ht="12.75">
      <c r="A10" s="9">
        <v>750</v>
      </c>
      <c r="B10" s="9">
        <v>0.75</v>
      </c>
    </row>
    <row r="11" spans="1:2" ht="12.75">
      <c r="A11" s="9">
        <v>1000</v>
      </c>
      <c r="B11" s="9">
        <v>0.4</v>
      </c>
    </row>
    <row r="12" spans="1:2" ht="12.75">
      <c r="A12" s="9">
        <v>1200</v>
      </c>
      <c r="B12" s="9">
        <v>0</v>
      </c>
    </row>
    <row r="13" s="9" customFormat="1" ht="12.75"/>
    <row r="14" s="9" customFormat="1" ht="12.75"/>
    <row r="15" s="9" customFormat="1" ht="12.75"/>
    <row r="16" s="9" customFormat="1" ht="12.75"/>
    <row r="17" s="9" customFormat="1" ht="12.75"/>
    <row r="18" s="9" customFormat="1" ht="12.75"/>
    <row r="19" s="9" customFormat="1" ht="12.75"/>
    <row r="20" s="9" customFormat="1" ht="12.75"/>
    <row r="21" s="9" customFormat="1" ht="12.75"/>
    <row r="22" s="9" customFormat="1" ht="12.75"/>
    <row r="23" s="9" customFormat="1" ht="12.75">
      <c r="A23" s="8" t="s">
        <v>91</v>
      </c>
    </row>
    <row r="24" spans="1:5" s="9" customFormat="1" ht="12.75">
      <c r="A24" s="8"/>
      <c r="E24" s="8" t="s">
        <v>90</v>
      </c>
    </row>
    <row r="25" spans="1:7" ht="15.75">
      <c r="A25" s="7" t="s">
        <v>39</v>
      </c>
      <c r="B25">
        <v>8.3143</v>
      </c>
      <c r="C25" t="s">
        <v>40</v>
      </c>
      <c r="D25" s="6" t="s">
        <v>4</v>
      </c>
      <c r="E25">
        <f>B25*1000</f>
        <v>8314.3</v>
      </c>
      <c r="F25" t="s">
        <v>41</v>
      </c>
      <c r="G25" t="s">
        <v>42</v>
      </c>
    </row>
    <row r="26" spans="1:7" ht="15.75">
      <c r="A26" s="13" t="s">
        <v>92</v>
      </c>
      <c r="B26" s="1">
        <v>9.81</v>
      </c>
      <c r="C26" s="1" t="s">
        <v>93</v>
      </c>
      <c r="D26" s="6" t="s">
        <v>4</v>
      </c>
      <c r="E26" s="1">
        <v>9.81</v>
      </c>
      <c r="F26" s="1" t="s">
        <v>93</v>
      </c>
      <c r="G26" s="1" t="s">
        <v>94</v>
      </c>
    </row>
    <row r="27" spans="1:7" ht="15.75">
      <c r="A27" s="5" t="s">
        <v>95</v>
      </c>
      <c r="D27" s="6" t="s">
        <v>4</v>
      </c>
      <c r="E27">
        <v>998</v>
      </c>
      <c r="F27" t="s">
        <v>53</v>
      </c>
      <c r="G27" t="s">
        <v>96</v>
      </c>
    </row>
    <row r="28" spans="1:4" ht="12.75">
      <c r="A28" s="5"/>
      <c r="D28" s="6"/>
    </row>
    <row r="29" s="9" customFormat="1" ht="12.75">
      <c r="A29" s="8" t="s">
        <v>37</v>
      </c>
    </row>
    <row r="30" s="9" customFormat="1" ht="12.75">
      <c r="A30" s="8"/>
    </row>
    <row r="31" spans="1:9" ht="12.75">
      <c r="A31" s="4" t="s">
        <v>38</v>
      </c>
      <c r="B31"/>
      <c r="C31"/>
      <c r="D31"/>
      <c r="E31" s="8" t="s">
        <v>90</v>
      </c>
      <c r="F31"/>
      <c r="G31"/>
      <c r="H31"/>
      <c r="I31"/>
    </row>
    <row r="32" spans="1:7" ht="15.75">
      <c r="A32" s="7" t="s">
        <v>39</v>
      </c>
      <c r="B32">
        <v>8.3143</v>
      </c>
      <c r="C32" t="s">
        <v>40</v>
      </c>
      <c r="D32" s="6" t="s">
        <v>4</v>
      </c>
      <c r="E32">
        <f>B32*1000</f>
        <v>8314.3</v>
      </c>
      <c r="F32" t="s">
        <v>41</v>
      </c>
      <c r="G32" t="s">
        <v>42</v>
      </c>
    </row>
    <row r="33" spans="1:7" ht="12.75">
      <c r="A33" s="7" t="s">
        <v>48</v>
      </c>
      <c r="B33">
        <v>28.97</v>
      </c>
      <c r="C33" t="s">
        <v>49</v>
      </c>
      <c r="D33" s="6" t="s">
        <v>4</v>
      </c>
      <c r="E33">
        <v>28.97</v>
      </c>
      <c r="F33" t="s">
        <v>49</v>
      </c>
      <c r="G33" t="s">
        <v>54</v>
      </c>
    </row>
    <row r="34" spans="1:7" ht="14.25">
      <c r="A34" s="7" t="s">
        <v>55</v>
      </c>
      <c r="B34">
        <v>25</v>
      </c>
      <c r="C34" s="11" t="s">
        <v>43</v>
      </c>
      <c r="D34" s="6" t="s">
        <v>4</v>
      </c>
      <c r="E34">
        <f>B34+273.15</f>
        <v>298.15</v>
      </c>
      <c r="F34" t="s">
        <v>44</v>
      </c>
      <c r="G34" t="s">
        <v>56</v>
      </c>
    </row>
    <row r="35" spans="1:7" ht="15.75">
      <c r="A35" s="7" t="s">
        <v>45</v>
      </c>
      <c r="B35">
        <v>76</v>
      </c>
      <c r="C35" s="9" t="s">
        <v>47</v>
      </c>
      <c r="D35" s="6" t="s">
        <v>4</v>
      </c>
      <c r="E35">
        <f>B35*10/760*101300</f>
        <v>101300</v>
      </c>
      <c r="F35" t="s">
        <v>5</v>
      </c>
      <c r="G35" t="s">
        <v>46</v>
      </c>
    </row>
    <row r="36" spans="1:7" ht="14.25">
      <c r="A36" s="7" t="s">
        <v>57</v>
      </c>
      <c r="C36" s="11"/>
      <c r="D36" s="6" t="s">
        <v>4</v>
      </c>
      <c r="E36">
        <v>110.4</v>
      </c>
      <c r="F36" t="s">
        <v>44</v>
      </c>
      <c r="G36" t="s">
        <v>58</v>
      </c>
    </row>
    <row r="37" spans="1:7" ht="15.75">
      <c r="A37" s="7" t="s">
        <v>60</v>
      </c>
      <c r="C37" s="11"/>
      <c r="D37" s="6" t="s">
        <v>4</v>
      </c>
      <c r="E37">
        <v>273.15</v>
      </c>
      <c r="F37" t="s">
        <v>44</v>
      </c>
      <c r="G37" t="s">
        <v>59</v>
      </c>
    </row>
    <row r="38" spans="1:7" ht="15.75">
      <c r="A38" s="5" t="s">
        <v>61</v>
      </c>
      <c r="C38" s="11"/>
      <c r="D38" s="6" t="s">
        <v>4</v>
      </c>
      <c r="E38" s="12">
        <v>1.71E-05</v>
      </c>
      <c r="F38" t="s">
        <v>51</v>
      </c>
      <c r="G38" t="s">
        <v>62</v>
      </c>
    </row>
    <row r="39" spans="1:7" ht="12.75">
      <c r="A39" s="5" t="s">
        <v>50</v>
      </c>
      <c r="D39" s="6" t="s">
        <v>4</v>
      </c>
      <c r="E39">
        <f>$E$38*($E$37+$E$36)/($E$34+$E$36)*($E$34/$E$37)^(3/2)</f>
        <v>1.8307257742504947E-05</v>
      </c>
      <c r="F39" t="s">
        <v>51</v>
      </c>
      <c r="G39" t="s">
        <v>64</v>
      </c>
    </row>
    <row r="40" spans="1:7" ht="14.25">
      <c r="A40" s="5" t="s">
        <v>52</v>
      </c>
      <c r="C40" s="1"/>
      <c r="D40" s="6" t="s">
        <v>4</v>
      </c>
      <c r="E40">
        <f>$E$35*$E$33/($E$32*$E$34)</f>
        <v>1.1838520650224313</v>
      </c>
      <c r="F40" t="s">
        <v>53</v>
      </c>
      <c r="G40" t="s">
        <v>63</v>
      </c>
    </row>
    <row r="41" spans="1:7" ht="14.25">
      <c r="A41" s="5" t="s">
        <v>65</v>
      </c>
      <c r="D41" s="6" t="s">
        <v>4</v>
      </c>
      <c r="E41">
        <f>$E$39/$E$40</f>
        <v>1.546414309980366E-05</v>
      </c>
      <c r="F41" t="s">
        <v>66</v>
      </c>
      <c r="G41" t="s">
        <v>67</v>
      </c>
    </row>
    <row r="42" s="9" customFormat="1" ht="12.75"/>
    <row r="43" spans="1:9" ht="12.75">
      <c r="A43" s="4" t="s">
        <v>17</v>
      </c>
      <c r="B43"/>
      <c r="C43"/>
      <c r="D43"/>
      <c r="E43"/>
      <c r="F43"/>
      <c r="G43"/>
      <c r="H43"/>
      <c r="I43"/>
    </row>
    <row r="44" spans="1:9" ht="12.75">
      <c r="A44" s="7" t="s">
        <v>18</v>
      </c>
      <c r="B44">
        <v>9.06</v>
      </c>
      <c r="C44" t="s">
        <v>6</v>
      </c>
      <c r="D44" s="6" t="s">
        <v>4</v>
      </c>
      <c r="E44">
        <f>B44*0.0254</f>
        <v>0.230124</v>
      </c>
      <c r="F44" t="s">
        <v>7</v>
      </c>
      <c r="G44" t="s">
        <v>19</v>
      </c>
      <c r="H44"/>
      <c r="I44"/>
    </row>
    <row r="45" spans="1:9" ht="14.25">
      <c r="A45" s="7" t="s">
        <v>8</v>
      </c>
      <c r="B45">
        <f>PI()*B44*B44/4</f>
        <v>64.4683086850508</v>
      </c>
      <c r="C45" t="s">
        <v>9</v>
      </c>
      <c r="D45" s="6" t="s">
        <v>4</v>
      </c>
      <c r="E45">
        <f>PI()*E44*E44/4</f>
        <v>0.04159237403124737</v>
      </c>
      <c r="F45" t="s">
        <v>10</v>
      </c>
      <c r="G45" t="s">
        <v>20</v>
      </c>
      <c r="H45"/>
      <c r="I45"/>
    </row>
    <row r="46" spans="1:9" ht="12.75">
      <c r="A46" s="5" t="s">
        <v>11</v>
      </c>
      <c r="B46">
        <v>0.15</v>
      </c>
      <c r="C46" t="s">
        <v>21</v>
      </c>
      <c r="D46" s="6" t="s">
        <v>4</v>
      </c>
      <c r="E46">
        <f>B46/1000</f>
        <v>0.00015</v>
      </c>
      <c r="F46" t="s">
        <v>7</v>
      </c>
      <c r="G46" t="s">
        <v>22</v>
      </c>
      <c r="H46"/>
      <c r="I46"/>
    </row>
    <row r="47" spans="1:9" ht="12.75">
      <c r="A47" s="5" t="s">
        <v>23</v>
      </c>
      <c r="B47"/>
      <c r="C47"/>
      <c r="D47" s="6" t="s">
        <v>4</v>
      </c>
      <c r="E47">
        <f>E46/E44</f>
        <v>0.0006518224956979715</v>
      </c>
      <c r="F47"/>
      <c r="G47" t="s">
        <v>24</v>
      </c>
      <c r="H47"/>
      <c r="I47"/>
    </row>
    <row r="48" spans="1:9" ht="12.75">
      <c r="A48" s="7" t="s">
        <v>13</v>
      </c>
      <c r="B48">
        <v>44</v>
      </c>
      <c r="C48" t="s">
        <v>12</v>
      </c>
      <c r="D48" s="6" t="s">
        <v>4</v>
      </c>
      <c r="E48">
        <f>B48*0.3048</f>
        <v>13.411200000000001</v>
      </c>
      <c r="F48" t="s">
        <v>7</v>
      </c>
      <c r="G48" t="s">
        <v>68</v>
      </c>
      <c r="H48"/>
      <c r="I48"/>
    </row>
    <row r="49" spans="1:9" ht="14.25">
      <c r="A49" s="10" t="s">
        <v>28</v>
      </c>
      <c r="B49" s="10" t="s">
        <v>30</v>
      </c>
      <c r="C49" s="10" t="s">
        <v>29</v>
      </c>
      <c r="D49" s="6"/>
      <c r="E49" s="8" t="s">
        <v>27</v>
      </c>
      <c r="F49"/>
      <c r="G49"/>
      <c r="H49"/>
      <c r="I49"/>
    </row>
    <row r="50" spans="1:9" ht="12.75">
      <c r="A50" s="7" t="s">
        <v>31</v>
      </c>
      <c r="B50">
        <v>1.3</v>
      </c>
      <c r="C50">
        <v>1</v>
      </c>
      <c r="E50" s="1">
        <f>B50*C50</f>
        <v>1.3</v>
      </c>
      <c r="F50"/>
      <c r="G50" t="s">
        <v>25</v>
      </c>
      <c r="H50"/>
      <c r="I50"/>
    </row>
    <row r="51" spans="1:9" ht="12.75">
      <c r="A51" s="7" t="s">
        <v>32</v>
      </c>
      <c r="B51">
        <v>0.21</v>
      </c>
      <c r="C51">
        <v>5</v>
      </c>
      <c r="E51" s="1">
        <f>B51*C51</f>
        <v>1.05</v>
      </c>
      <c r="F51"/>
      <c r="G51" t="s">
        <v>26</v>
      </c>
      <c r="H51"/>
      <c r="I51"/>
    </row>
    <row r="52" spans="1:9" ht="12.75">
      <c r="A52" s="7" t="s">
        <v>33</v>
      </c>
      <c r="B52">
        <v>0</v>
      </c>
      <c r="C52">
        <v>0</v>
      </c>
      <c r="E52" s="1">
        <f>B52*C52</f>
        <v>0</v>
      </c>
      <c r="F52"/>
      <c r="G52" t="s">
        <v>34</v>
      </c>
      <c r="H52"/>
      <c r="I52"/>
    </row>
    <row r="53" spans="1:9" ht="12.75">
      <c r="A53" s="7" t="s">
        <v>33</v>
      </c>
      <c r="B53">
        <v>0</v>
      </c>
      <c r="C53">
        <v>0</v>
      </c>
      <c r="E53" s="1">
        <f>B53*C53</f>
        <v>0</v>
      </c>
      <c r="F53"/>
      <c r="G53" t="s">
        <v>34</v>
      </c>
      <c r="H53"/>
      <c r="I53"/>
    </row>
    <row r="54" spans="1:9" ht="12.75">
      <c r="A54" s="5" t="s">
        <v>14</v>
      </c>
      <c r="B54"/>
      <c r="C54"/>
      <c r="D54"/>
      <c r="E54">
        <f>SUM(E50:E53)</f>
        <v>2.35</v>
      </c>
      <c r="F54"/>
      <c r="G54" t="s">
        <v>15</v>
      </c>
      <c r="H54"/>
      <c r="I54"/>
    </row>
    <row r="57" spans="1:18" s="8" customFormat="1" ht="14.25">
      <c r="A57" s="8" t="s">
        <v>35</v>
      </c>
      <c r="L57" s="8" t="s">
        <v>82</v>
      </c>
      <c r="Q57" s="10" t="s">
        <v>97</v>
      </c>
      <c r="R57" s="8">
        <v>2300</v>
      </c>
    </row>
    <row r="58" spans="12:37" ht="12.75">
      <c r="L58" s="10" t="s">
        <v>74</v>
      </c>
      <c r="M58" s="10" t="s">
        <v>75</v>
      </c>
      <c r="N58" s="10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3" customFormat="1" ht="16.5">
      <c r="A59" s="3" t="s">
        <v>72</v>
      </c>
      <c r="B59" s="3" t="s">
        <v>71</v>
      </c>
      <c r="C59" s="3" t="s">
        <v>73</v>
      </c>
      <c r="D59" s="3" t="s">
        <v>36</v>
      </c>
      <c r="E59" s="14" t="s">
        <v>69</v>
      </c>
      <c r="F59" s="3" t="s">
        <v>70</v>
      </c>
      <c r="G59" s="3" t="s">
        <v>88</v>
      </c>
      <c r="H59" s="14" t="s">
        <v>87</v>
      </c>
      <c r="I59" s="14" t="s">
        <v>86</v>
      </c>
      <c r="J59" s="14" t="s">
        <v>85</v>
      </c>
      <c r="K59" s="14" t="s">
        <v>89</v>
      </c>
      <c r="L59" s="10" t="s">
        <v>83</v>
      </c>
      <c r="M59" s="10" t="s">
        <v>84</v>
      </c>
      <c r="N59" s="15" t="s">
        <v>76</v>
      </c>
      <c r="O59" s="10" t="s">
        <v>77</v>
      </c>
      <c r="P59" s="10" t="s">
        <v>78</v>
      </c>
      <c r="Q59" s="10" t="s">
        <v>79</v>
      </c>
      <c r="R59" s="10" t="s">
        <v>80</v>
      </c>
      <c r="S59" s="10" t="s">
        <v>81</v>
      </c>
      <c r="T59" s="10" t="s">
        <v>79</v>
      </c>
      <c r="U59" s="10" t="s">
        <v>80</v>
      </c>
      <c r="V59" s="10" t="s">
        <v>81</v>
      </c>
      <c r="W59" s="10" t="s">
        <v>79</v>
      </c>
      <c r="X59" s="10" t="s">
        <v>80</v>
      </c>
      <c r="Y59" s="10" t="s">
        <v>81</v>
      </c>
      <c r="Z59" s="10" t="s">
        <v>79</v>
      </c>
      <c r="AA59" s="10" t="s">
        <v>80</v>
      </c>
      <c r="AB59" s="10" t="s">
        <v>81</v>
      </c>
      <c r="AC59" s="10" t="s">
        <v>79</v>
      </c>
      <c r="AD59" s="10" t="s">
        <v>80</v>
      </c>
      <c r="AE59" s="10" t="s">
        <v>81</v>
      </c>
      <c r="AF59" s="10" t="s">
        <v>79</v>
      </c>
      <c r="AG59" s="10" t="s">
        <v>80</v>
      </c>
      <c r="AH59" s="10" t="s">
        <v>81</v>
      </c>
      <c r="AI59" s="10" t="s">
        <v>79</v>
      </c>
      <c r="AJ59" s="10" t="s">
        <v>80</v>
      </c>
      <c r="AK59" s="10" t="s">
        <v>81</v>
      </c>
    </row>
    <row r="60" spans="1:37" ht="12.75">
      <c r="A60" s="1">
        <v>50</v>
      </c>
      <c r="B60" s="1">
        <f>(A60*(0.3048)^3)/60</f>
        <v>0.023597372160000005</v>
      </c>
      <c r="C60" s="1">
        <f>B60/$E$45</f>
        <v>0.5673485274553421</v>
      </c>
      <c r="D60" s="1">
        <f>C60*$E$44/$E$41</f>
        <v>8442.789987748549</v>
      </c>
      <c r="E60" s="1">
        <f>$E$47</f>
        <v>0.0006518224956979715</v>
      </c>
      <c r="F60" s="1">
        <f>N60</f>
        <v>0.03322656115034184</v>
      </c>
      <c r="G60" s="1">
        <f>0.5*$E$40*C60*C60</f>
        <v>0.19053172717343383</v>
      </c>
      <c r="H60" s="1">
        <f>G60*F60*$E$48/$E$44</f>
        <v>0.36894227774353283</v>
      </c>
      <c r="I60" s="1">
        <f>G60*$E$54</f>
        <v>0.4477495588575695</v>
      </c>
      <c r="J60" s="1">
        <f>H60+I60</f>
        <v>0.8166918366011023</v>
      </c>
      <c r="K60" s="17">
        <f>J60/$E$27/$E$26/0.0254</f>
        <v>0.003284164855034148</v>
      </c>
      <c r="L60">
        <f>64/D60</f>
        <v>0.007580432545742735</v>
      </c>
      <c r="M60">
        <f>AK60</f>
        <v>0.03322656115034184</v>
      </c>
      <c r="N60" s="16">
        <f>IF(D60&lt;$R$57,L60,M60)</f>
        <v>0.03322656115034184</v>
      </c>
      <c r="O60">
        <f>1.8*LOG(6.9/$D60+($E60/3.7)^1.11)</f>
        <v>-5.495202611811532</v>
      </c>
      <c r="P60">
        <f aca="true" t="shared" si="0" ref="P60:P72">1/O60/O60</f>
        <v>0.03311559636118889</v>
      </c>
      <c r="Q60">
        <f>1/SQRT(P60)+2*LOG($E60/3.7+2.51/($D60*SQRT(P60)))</f>
        <v>0.010494970603237341</v>
      </c>
      <c r="R60">
        <f>-0.5*(P60^(-1.5))*(1+2*2.51/(LN(10)*$D60)/($E60/3.7+2.51/($D60*SQRT(P60))))</f>
        <v>-94.80797182123789</v>
      </c>
      <c r="S60">
        <f>P60-Q60/R60</f>
        <v>0.033226293493525245</v>
      </c>
      <c r="T60">
        <f>1/SQRT(S60)+2*LOG($E60/3.7+2.51/($D60*SQRT(S60)))</f>
        <v>2.525389595575689E-05</v>
      </c>
      <c r="U60">
        <f>-0.5*(S60^(-1.5))*(1+2*2.51/(LN(10)*$D60)/($E60/3.7+2.51/($D60*SQRT(S60))))</f>
        <v>-94.35232442821037</v>
      </c>
      <c r="V60">
        <f>S60-T60/U60</f>
        <v>0.033226561148785555</v>
      </c>
      <c r="W60">
        <f>1/SQRT(V60)+2*LOG($E60/3.7+2.51/($D60*SQRT(V60)))</f>
        <v>1.468372090585035E-10</v>
      </c>
      <c r="X60">
        <f>-0.5*(V60^(-1.5))*(1+2*2.51/(LN(10)*$D60)/($E60/3.7+2.51/($D60*SQRT(V60))))</f>
        <v>-94.35122723477268</v>
      </c>
      <c r="Y60">
        <f>V60-W60/X60</f>
        <v>0.03322656115034184</v>
      </c>
      <c r="Z60">
        <f>1/SQRT(Y60)+2*LOG($E60/3.7+2.51/($D60*SQRT(Y60)))</f>
        <v>0</v>
      </c>
      <c r="AA60">
        <f>-0.5*(Y60^(-1.5))*(1+2*2.51/(LN(10)*$D60)/($E60/3.7+2.51/($D60*SQRT(Y60))))</f>
        <v>-94.35122722839311</v>
      </c>
      <c r="AB60">
        <f>Y60-Z60/AA60</f>
        <v>0.03322656115034184</v>
      </c>
      <c r="AC60">
        <f>1/SQRT(AB60)+2*LOG($E60/3.7+2.51/($D60*SQRT(AB60)))</f>
        <v>0</v>
      </c>
      <c r="AD60">
        <f>-0.5*(AB60^(-1.5))*(1+2*2.51/(LN(10)*$D60)/($E60/3.7+2.51/($D60*SQRT(AB60))))</f>
        <v>-94.35122722839311</v>
      </c>
      <c r="AE60">
        <f>AB60-AC60/AD60</f>
        <v>0.03322656115034184</v>
      </c>
      <c r="AF60">
        <f>1/SQRT(AE60)+2*LOG($E60/3.7+2.51/($D60*SQRT(AE60)))</f>
        <v>0</v>
      </c>
      <c r="AG60">
        <f>-0.5*(AE60^(-1.5))*(1+2*2.51/(LN(10)*$D60)/($E60/3.7+2.51/($D60*SQRT(AE60))))</f>
        <v>-94.35122722839311</v>
      </c>
      <c r="AH60">
        <f>AE60-AF60/AG60</f>
        <v>0.03322656115034184</v>
      </c>
      <c r="AI60">
        <f>1/SQRT(AH60)+2*LOG($E60/3.7+2.51/($D60*SQRT(AH60)))</f>
        <v>0</v>
      </c>
      <c r="AJ60">
        <f>-0.5*(AH60^(-1.5))*(1+2*2.51/(LN(10)*$D60)/($E60/3.7+2.51/($D60*SQRT(AH60))))</f>
        <v>-94.35122722839311</v>
      </c>
      <c r="AK60">
        <f>AH60-AI60/AJ60</f>
        <v>0.03322656115034184</v>
      </c>
    </row>
    <row r="61" spans="1:37" ht="12.75">
      <c r="A61" s="1">
        <v>100</v>
      </c>
      <c r="B61" s="1">
        <f aca="true" t="shared" si="1" ref="B61:B72">(A61*(0.3048)^3)/60</f>
        <v>0.04719474432000001</v>
      </c>
      <c r="C61" s="1">
        <f aca="true" t="shared" si="2" ref="C61:C72">B61/$E$45</f>
        <v>1.1346970549106843</v>
      </c>
      <c r="D61" s="1">
        <f aca="true" t="shared" si="3" ref="D61:D72">C61*$E$44/$E$41</f>
        <v>16885.579975497098</v>
      </c>
      <c r="E61" s="1">
        <f aca="true" t="shared" si="4" ref="E61:E72">$E$47</f>
        <v>0.0006518224956979715</v>
      </c>
      <c r="F61" s="1">
        <f aca="true" t="shared" si="5" ref="F61:F67">N61</f>
        <v>0.028256079714396004</v>
      </c>
      <c r="G61" s="1">
        <f aca="true" t="shared" si="6" ref="G61:G67">0.5*$E$40*C61*C61</f>
        <v>0.7621269086937353</v>
      </c>
      <c r="H61" s="1">
        <f aca="true" t="shared" si="7" ref="H61:H67">G61*F61*$E$48/$E$44</f>
        <v>1.2550034730060944</v>
      </c>
      <c r="I61" s="1">
        <f aca="true" t="shared" si="8" ref="I61:I67">G61*$E$54</f>
        <v>1.790998235430278</v>
      </c>
      <c r="J61" s="1">
        <f aca="true" t="shared" si="9" ref="J61:J67">H61+I61</f>
        <v>3.046001708436372</v>
      </c>
      <c r="K61" s="17">
        <f aca="true" t="shared" si="10" ref="K61:K72">J61/$E$27/$E$26/0.0254</f>
        <v>0.012248894026972823</v>
      </c>
      <c r="L61">
        <f aca="true" t="shared" si="11" ref="L61:L67">64/D61</f>
        <v>0.0037902162728713673</v>
      </c>
      <c r="M61">
        <f aca="true" t="shared" si="12" ref="M61:M68">AK61</f>
        <v>0.028256079714396004</v>
      </c>
      <c r="N61" s="16">
        <f aca="true" t="shared" si="13" ref="N61:N67">IF(D61&lt;$R$57,L61,M61)</f>
        <v>0.028256079714396004</v>
      </c>
      <c r="O61">
        <f aca="true" t="shared" si="14" ref="O61:O72">1.8*LOG(6.9/$D61+($E61/3.7)^1.11)</f>
        <v>-5.979148166856993</v>
      </c>
      <c r="P61">
        <f t="shared" si="0"/>
        <v>0.027971861470027757</v>
      </c>
      <c r="Q61">
        <f aca="true" t="shared" si="15" ref="Q61:Q72">1/SQRT(P61)+2*LOG($E61/3.7+2.51/($D61*SQRT(P61)))</f>
        <v>0.033809812060066946</v>
      </c>
      <c r="R61">
        <f aca="true" t="shared" si="16" ref="R61:R67">-0.5*(P61^(-1.5))*(1+2*2.51/(LN(10)*$D61)/($E61/3.7+2.51/($D61*SQRT(P61))))</f>
        <v>-119.83564708626683</v>
      </c>
      <c r="S61">
        <f aca="true" t="shared" si="17" ref="S61:S68">P61-Q61/R61</f>
        <v>0.02825399631789759</v>
      </c>
      <c r="T61">
        <f aca="true" t="shared" si="18" ref="T61:T72">1/SQRT(S61)+2*LOG($E61/3.7+2.51/($D61*SQRT(S61)))</f>
        <v>0.000246033268314072</v>
      </c>
      <c r="U61">
        <f aca="true" t="shared" si="19" ref="U61:U67">-0.5*(S61^(-1.5))*(1+2*2.51/(LN(10)*$D61)/($E61/3.7+2.51/($D61*SQRT(S61))))</f>
        <v>-118.09872218282567</v>
      </c>
      <c r="V61">
        <f aca="true" t="shared" si="20" ref="V61:V68">S61-T61/U61</f>
        <v>0.028256079602659412</v>
      </c>
      <c r="W61">
        <f aca="true" t="shared" si="21" ref="W61:W72">1/SQRT(V61)+2*LOG($E61/3.7+2.51/($D61*SQRT(V61)))</f>
        <v>1.3194533465821223E-08</v>
      </c>
      <c r="X61">
        <f aca="true" t="shared" si="22" ref="X61:X67">-0.5*(V61^(-1.5))*(1+2*2.51/(LN(10)*$D61)/($E61/3.7+2.51/($D61*SQRT(V61))))</f>
        <v>-118.08605551939192</v>
      </c>
      <c r="Y61">
        <f aca="true" t="shared" si="23" ref="Y61:Y68">V61-W61/X61</f>
        <v>0.028256079714396004</v>
      </c>
      <c r="Z61">
        <f aca="true" t="shared" si="24" ref="Z61:Z72">1/SQRT(Y61)+2*LOG($E61/3.7+2.51/($D61*SQRT(Y61)))</f>
        <v>0</v>
      </c>
      <c r="AA61">
        <f aca="true" t="shared" si="25" ref="AA61:AA67">-0.5*(Y61^(-1.5))*(1+2*2.51/(LN(10)*$D61)/($E61/3.7+2.51/($D61*SQRT(Y61))))</f>
        <v>-118.08605484007946</v>
      </c>
      <c r="AB61">
        <f aca="true" t="shared" si="26" ref="AB61:AB68">Y61-Z61/AA61</f>
        <v>0.028256079714396004</v>
      </c>
      <c r="AC61">
        <f aca="true" t="shared" si="27" ref="AC61:AC72">1/SQRT(AB61)+2*LOG($E61/3.7+2.51/($D61*SQRT(AB61)))</f>
        <v>0</v>
      </c>
      <c r="AD61">
        <f aca="true" t="shared" si="28" ref="AD61:AD67">-0.5*(AB61^(-1.5))*(1+2*2.51/(LN(10)*$D61)/($E61/3.7+2.51/($D61*SQRT(AB61))))</f>
        <v>-118.08605484007946</v>
      </c>
      <c r="AE61">
        <f aca="true" t="shared" si="29" ref="AE61:AE68">AB61-AC61/AD61</f>
        <v>0.028256079714396004</v>
      </c>
      <c r="AF61">
        <f aca="true" t="shared" si="30" ref="AF61:AF72">1/SQRT(AE61)+2*LOG($E61/3.7+2.51/($D61*SQRT(AE61)))</f>
        <v>0</v>
      </c>
      <c r="AG61">
        <f aca="true" t="shared" si="31" ref="AG61:AG67">-0.5*(AE61^(-1.5))*(1+2*2.51/(LN(10)*$D61)/($E61/3.7+2.51/($D61*SQRT(AE61))))</f>
        <v>-118.08605484007946</v>
      </c>
      <c r="AH61">
        <f aca="true" t="shared" si="32" ref="AH61:AH68">AE61-AF61/AG61</f>
        <v>0.028256079714396004</v>
      </c>
      <c r="AI61">
        <f aca="true" t="shared" si="33" ref="AI61:AI72">1/SQRT(AH61)+2*LOG($E61/3.7+2.51/($D61*SQRT(AH61)))</f>
        <v>0</v>
      </c>
      <c r="AJ61">
        <f aca="true" t="shared" si="34" ref="AJ61:AJ67">-0.5*(AH61^(-1.5))*(1+2*2.51/(LN(10)*$D61)/($E61/3.7+2.51/($D61*SQRT(AH61))))</f>
        <v>-118.08605484007946</v>
      </c>
      <c r="AK61">
        <f aca="true" t="shared" si="35" ref="AK61:AK68">AH61-AI61/AJ61</f>
        <v>0.028256079714396004</v>
      </c>
    </row>
    <row r="62" spans="1:37" ht="12.75">
      <c r="A62" s="1">
        <v>200</v>
      </c>
      <c r="B62" s="1">
        <f t="shared" si="1"/>
        <v>0.09438948864000002</v>
      </c>
      <c r="C62" s="1">
        <f t="shared" si="2"/>
        <v>2.2693941098213686</v>
      </c>
      <c r="D62" s="1">
        <f t="shared" si="3"/>
        <v>33771.159950994195</v>
      </c>
      <c r="E62" s="1">
        <f t="shared" si="4"/>
        <v>0.0006518224956979715</v>
      </c>
      <c r="F62" s="1">
        <f t="shared" si="5"/>
        <v>0.024611560799427955</v>
      </c>
      <c r="G62" s="1">
        <f t="shared" si="6"/>
        <v>3.0485076347749414</v>
      </c>
      <c r="H62" s="1">
        <f t="shared" si="7"/>
        <v>4.3725236609728295</v>
      </c>
      <c r="I62" s="1">
        <f t="shared" si="8"/>
        <v>7.163992941721112</v>
      </c>
      <c r="J62" s="1">
        <f t="shared" si="9"/>
        <v>11.536516602693942</v>
      </c>
      <c r="K62" s="17">
        <f t="shared" si="10"/>
        <v>0.04639182207791674</v>
      </c>
      <c r="L62">
        <f t="shared" si="11"/>
        <v>0.0018951081364356837</v>
      </c>
      <c r="M62">
        <f t="shared" si="12"/>
        <v>0.024611560799427955</v>
      </c>
      <c r="N62" s="16">
        <f t="shared" si="13"/>
        <v>0.024611560799427955</v>
      </c>
      <c r="O62">
        <f t="shared" si="14"/>
        <v>-6.416655644556057</v>
      </c>
      <c r="P62">
        <f t="shared" si="0"/>
        <v>0.02428748434946086</v>
      </c>
      <c r="Q62">
        <f t="shared" si="15"/>
        <v>0.0465861446243796</v>
      </c>
      <c r="R62">
        <f t="shared" si="16"/>
        <v>-145.15587820948767</v>
      </c>
      <c r="S62">
        <f t="shared" si="17"/>
        <v>0.024608423089242014</v>
      </c>
      <c r="T62">
        <f t="shared" si="18"/>
        <v>0.00044672727138195256</v>
      </c>
      <c r="U62">
        <f t="shared" si="19"/>
        <v>-142.38697225211922</v>
      </c>
      <c r="V62">
        <f t="shared" si="20"/>
        <v>0.024611560505989602</v>
      </c>
      <c r="W62">
        <f t="shared" si="21"/>
        <v>4.177398515992081E-08</v>
      </c>
      <c r="X62">
        <f t="shared" si="22"/>
        <v>-142.36034410862734</v>
      </c>
      <c r="Y62">
        <f t="shared" si="23"/>
        <v>0.024611560799427955</v>
      </c>
      <c r="Z62">
        <f t="shared" si="24"/>
        <v>0</v>
      </c>
      <c r="AA62">
        <f t="shared" si="25"/>
        <v>-142.3603416185254</v>
      </c>
      <c r="AB62">
        <f t="shared" si="26"/>
        <v>0.024611560799427955</v>
      </c>
      <c r="AC62">
        <f t="shared" si="27"/>
        <v>0</v>
      </c>
      <c r="AD62">
        <f t="shared" si="28"/>
        <v>-142.3603416185254</v>
      </c>
      <c r="AE62">
        <f t="shared" si="29"/>
        <v>0.024611560799427955</v>
      </c>
      <c r="AF62">
        <f t="shared" si="30"/>
        <v>0</v>
      </c>
      <c r="AG62">
        <f t="shared" si="31"/>
        <v>-142.3603416185254</v>
      </c>
      <c r="AH62">
        <f t="shared" si="32"/>
        <v>0.024611560799427955</v>
      </c>
      <c r="AI62">
        <f t="shared" si="33"/>
        <v>0</v>
      </c>
      <c r="AJ62">
        <f t="shared" si="34"/>
        <v>-142.3603416185254</v>
      </c>
      <c r="AK62">
        <f t="shared" si="35"/>
        <v>0.024611560799427955</v>
      </c>
    </row>
    <row r="63" spans="1:37" ht="12.75">
      <c r="A63" s="1">
        <v>300</v>
      </c>
      <c r="B63" s="1">
        <f t="shared" si="1"/>
        <v>0.14158423296000003</v>
      </c>
      <c r="C63" s="1">
        <f t="shared" si="2"/>
        <v>3.4040911647320526</v>
      </c>
      <c r="D63" s="1">
        <f t="shared" si="3"/>
        <v>50656.7399264913</v>
      </c>
      <c r="E63" s="1">
        <f t="shared" si="4"/>
        <v>0.0006518224956979715</v>
      </c>
      <c r="F63" s="1">
        <f t="shared" si="5"/>
        <v>0.022979087506197846</v>
      </c>
      <c r="G63" s="1">
        <f t="shared" si="6"/>
        <v>6.8591421782436175</v>
      </c>
      <c r="H63" s="1">
        <f t="shared" si="7"/>
        <v>9.185616485533451</v>
      </c>
      <c r="I63" s="1">
        <f t="shared" si="8"/>
        <v>16.1189841188725</v>
      </c>
      <c r="J63" s="1">
        <f t="shared" si="9"/>
        <v>25.30460060440595</v>
      </c>
      <c r="K63" s="17">
        <f t="shared" si="10"/>
        <v>0.10175745152728484</v>
      </c>
      <c r="L63">
        <f t="shared" si="11"/>
        <v>0.0012634054242904556</v>
      </c>
      <c r="M63">
        <f t="shared" si="12"/>
        <v>0.022979087506197846</v>
      </c>
      <c r="N63" s="16">
        <f t="shared" si="13"/>
        <v>0.022979087506197846</v>
      </c>
      <c r="O63">
        <f t="shared" si="14"/>
        <v>-6.641575697400659</v>
      </c>
      <c r="P63">
        <f t="shared" si="0"/>
        <v>0.022670325002610105</v>
      </c>
      <c r="Q63">
        <f t="shared" si="15"/>
        <v>0.048593295683871496</v>
      </c>
      <c r="R63">
        <f t="shared" si="16"/>
        <v>-158.95914129523533</v>
      </c>
      <c r="S63">
        <f t="shared" si="17"/>
        <v>0.02297602177026953</v>
      </c>
      <c r="T63">
        <f t="shared" si="18"/>
        <v>0.0004777500362580511</v>
      </c>
      <c r="U63">
        <f t="shared" si="19"/>
        <v>-155.85068025443942</v>
      </c>
      <c r="V63">
        <f t="shared" si="20"/>
        <v>0.022979087204667882</v>
      </c>
      <c r="W63">
        <f t="shared" si="21"/>
        <v>4.69844074757475E-08</v>
      </c>
      <c r="X63">
        <f t="shared" si="22"/>
        <v>-155.82002761971995</v>
      </c>
      <c r="Y63">
        <f t="shared" si="23"/>
        <v>0.022979087506197846</v>
      </c>
      <c r="Z63">
        <f t="shared" si="24"/>
        <v>0</v>
      </c>
      <c r="AA63">
        <f t="shared" si="25"/>
        <v>-155.82002460508656</v>
      </c>
      <c r="AB63">
        <f t="shared" si="26"/>
        <v>0.022979087506197846</v>
      </c>
      <c r="AC63">
        <f t="shared" si="27"/>
        <v>0</v>
      </c>
      <c r="AD63">
        <f t="shared" si="28"/>
        <v>-155.82002460508656</v>
      </c>
      <c r="AE63">
        <f t="shared" si="29"/>
        <v>0.022979087506197846</v>
      </c>
      <c r="AF63">
        <f t="shared" si="30"/>
        <v>0</v>
      </c>
      <c r="AG63">
        <f t="shared" si="31"/>
        <v>-155.82002460508656</v>
      </c>
      <c r="AH63">
        <f t="shared" si="32"/>
        <v>0.022979087506197846</v>
      </c>
      <c r="AI63">
        <f t="shared" si="33"/>
        <v>0</v>
      </c>
      <c r="AJ63">
        <f t="shared" si="34"/>
        <v>-155.82002460508656</v>
      </c>
      <c r="AK63">
        <f t="shared" si="35"/>
        <v>0.022979087506197846</v>
      </c>
    </row>
    <row r="64" spans="1:37" ht="12.75">
      <c r="A64" s="1">
        <v>400</v>
      </c>
      <c r="B64" s="1">
        <f t="shared" si="1"/>
        <v>0.18877897728000004</v>
      </c>
      <c r="C64" s="1">
        <f t="shared" si="2"/>
        <v>4.538788219642737</v>
      </c>
      <c r="D64" s="1">
        <f t="shared" si="3"/>
        <v>67542.31990198839</v>
      </c>
      <c r="E64" s="1">
        <f t="shared" si="4"/>
        <v>0.0006518224956979715</v>
      </c>
      <c r="F64" s="1">
        <f t="shared" si="5"/>
        <v>0.022013789164445033</v>
      </c>
      <c r="G64" s="1">
        <f t="shared" si="6"/>
        <v>12.194030539099765</v>
      </c>
      <c r="H64" s="1">
        <f t="shared" si="7"/>
        <v>15.643999951671573</v>
      </c>
      <c r="I64" s="1">
        <f t="shared" si="8"/>
        <v>28.65597176688445</v>
      </c>
      <c r="J64" s="1">
        <f t="shared" si="9"/>
        <v>44.29997171855602</v>
      </c>
      <c r="K64" s="17">
        <f t="shared" si="10"/>
        <v>0.1781435832670744</v>
      </c>
      <c r="L64">
        <f t="shared" si="11"/>
        <v>0.0009475540682178418</v>
      </c>
      <c r="M64">
        <f t="shared" si="12"/>
        <v>0.022013789164445033</v>
      </c>
      <c r="N64" s="16">
        <f t="shared" si="13"/>
        <v>0.022013789164445033</v>
      </c>
      <c r="O64">
        <f t="shared" si="14"/>
        <v>-6.78412620269324</v>
      </c>
      <c r="P64">
        <f t="shared" si="0"/>
        <v>0.021727620306301126</v>
      </c>
      <c r="Q64">
        <f t="shared" si="15"/>
        <v>0.04758010211458785</v>
      </c>
      <c r="R64">
        <f t="shared" si="16"/>
        <v>-167.88377888755448</v>
      </c>
      <c r="S64">
        <f t="shared" si="17"/>
        <v>0.022011031261366987</v>
      </c>
      <c r="T64">
        <f t="shared" si="18"/>
        <v>0.0004541729855036536</v>
      </c>
      <c r="U64">
        <f t="shared" si="19"/>
        <v>-164.6958085254469</v>
      </c>
      <c r="V64">
        <f t="shared" si="20"/>
        <v>0.022013788908872227</v>
      </c>
      <c r="W64">
        <f t="shared" si="21"/>
        <v>4.208397008653719E-08</v>
      </c>
      <c r="X64">
        <f t="shared" si="22"/>
        <v>-164.66528845923924</v>
      </c>
      <c r="Y64">
        <f t="shared" si="23"/>
        <v>0.022013789164445033</v>
      </c>
      <c r="Z64">
        <f t="shared" si="24"/>
        <v>0</v>
      </c>
      <c r="AA64">
        <f t="shared" si="25"/>
        <v>-164.6652856311451</v>
      </c>
      <c r="AB64">
        <f t="shared" si="26"/>
        <v>0.022013789164445033</v>
      </c>
      <c r="AC64">
        <f t="shared" si="27"/>
        <v>0</v>
      </c>
      <c r="AD64">
        <f t="shared" si="28"/>
        <v>-164.6652856311451</v>
      </c>
      <c r="AE64">
        <f t="shared" si="29"/>
        <v>0.022013789164445033</v>
      </c>
      <c r="AF64">
        <f t="shared" si="30"/>
        <v>0</v>
      </c>
      <c r="AG64">
        <f t="shared" si="31"/>
        <v>-164.6652856311451</v>
      </c>
      <c r="AH64">
        <f t="shared" si="32"/>
        <v>0.022013789164445033</v>
      </c>
      <c r="AI64">
        <f t="shared" si="33"/>
        <v>0</v>
      </c>
      <c r="AJ64">
        <f t="shared" si="34"/>
        <v>-164.6652856311451</v>
      </c>
      <c r="AK64">
        <f t="shared" si="35"/>
        <v>0.022013789164445033</v>
      </c>
    </row>
    <row r="65" spans="1:37" ht="12.75">
      <c r="A65" s="1">
        <v>500</v>
      </c>
      <c r="B65" s="1">
        <f t="shared" si="1"/>
        <v>0.23597372160000005</v>
      </c>
      <c r="C65" s="1">
        <f t="shared" si="2"/>
        <v>5.673485274553421</v>
      </c>
      <c r="D65" s="1">
        <f t="shared" si="3"/>
        <v>84427.89987748548</v>
      </c>
      <c r="E65" s="1">
        <f t="shared" si="4"/>
        <v>0.0006518224956979715</v>
      </c>
      <c r="F65" s="1">
        <f t="shared" si="5"/>
        <v>0.021365118312077984</v>
      </c>
      <c r="G65" s="1">
        <f t="shared" si="6"/>
        <v>19.053172717343386</v>
      </c>
      <c r="H65" s="1">
        <f t="shared" si="7"/>
        <v>23.723476464060802</v>
      </c>
      <c r="I65" s="1">
        <f t="shared" si="8"/>
        <v>44.77495588575696</v>
      </c>
      <c r="J65" s="1">
        <f t="shared" si="9"/>
        <v>68.49843234981776</v>
      </c>
      <c r="K65" s="17">
        <f t="shared" si="10"/>
        <v>0.2754529114487564</v>
      </c>
      <c r="L65">
        <f t="shared" si="11"/>
        <v>0.0007580432545742735</v>
      </c>
      <c r="M65">
        <f t="shared" si="12"/>
        <v>0.021365118312077984</v>
      </c>
      <c r="N65" s="16">
        <f t="shared" si="13"/>
        <v>0.021365118312077984</v>
      </c>
      <c r="O65">
        <f t="shared" si="14"/>
        <v>-6.884077244443208</v>
      </c>
      <c r="P65">
        <f t="shared" si="0"/>
        <v>0.02110126688614519</v>
      </c>
      <c r="Q65">
        <f t="shared" si="15"/>
        <v>0.04553607793656411</v>
      </c>
      <c r="R65">
        <f t="shared" si="16"/>
        <v>-174.18062769250426</v>
      </c>
      <c r="S65">
        <f t="shared" si="17"/>
        <v>0.021362697095347057</v>
      </c>
      <c r="T65">
        <f t="shared" si="18"/>
        <v>0.0004140635017293448</v>
      </c>
      <c r="U65">
        <f t="shared" si="19"/>
        <v>-171.02900894375676</v>
      </c>
      <c r="V65">
        <f t="shared" si="20"/>
        <v>0.021365118108625954</v>
      </c>
      <c r="W65">
        <f t="shared" si="21"/>
        <v>3.479035193265645E-08</v>
      </c>
      <c r="X65">
        <f t="shared" si="22"/>
        <v>-171.0002699686834</v>
      </c>
      <c r="Y65">
        <f t="shared" si="23"/>
        <v>0.021365118312077984</v>
      </c>
      <c r="Z65">
        <f t="shared" si="24"/>
        <v>0</v>
      </c>
      <c r="AA65">
        <f t="shared" si="25"/>
        <v>-171.00026755391764</v>
      </c>
      <c r="AB65">
        <f t="shared" si="26"/>
        <v>0.021365118312077984</v>
      </c>
      <c r="AC65">
        <f t="shared" si="27"/>
        <v>0</v>
      </c>
      <c r="AD65">
        <f t="shared" si="28"/>
        <v>-171.00026755391764</v>
      </c>
      <c r="AE65">
        <f t="shared" si="29"/>
        <v>0.021365118312077984</v>
      </c>
      <c r="AF65">
        <f t="shared" si="30"/>
        <v>0</v>
      </c>
      <c r="AG65">
        <f t="shared" si="31"/>
        <v>-171.00026755391764</v>
      </c>
      <c r="AH65">
        <f t="shared" si="32"/>
        <v>0.021365118312077984</v>
      </c>
      <c r="AI65">
        <f t="shared" si="33"/>
        <v>0</v>
      </c>
      <c r="AJ65">
        <f t="shared" si="34"/>
        <v>-171.00026755391764</v>
      </c>
      <c r="AK65">
        <f t="shared" si="35"/>
        <v>0.021365118312077984</v>
      </c>
    </row>
    <row r="66" spans="1:37" ht="12.75">
      <c r="A66" s="1">
        <v>600</v>
      </c>
      <c r="B66" s="1">
        <f t="shared" si="1"/>
        <v>0.28316846592000006</v>
      </c>
      <c r="C66" s="1">
        <f t="shared" si="2"/>
        <v>6.808182329464105</v>
      </c>
      <c r="D66" s="1">
        <f t="shared" si="3"/>
        <v>101313.4798529826</v>
      </c>
      <c r="E66" s="1">
        <f t="shared" si="4"/>
        <v>0.0006518224956979715</v>
      </c>
      <c r="F66" s="1">
        <f t="shared" si="5"/>
        <v>0.02089515476194894</v>
      </c>
      <c r="G66" s="1">
        <f t="shared" si="6"/>
        <v>27.43656871297447</v>
      </c>
      <c r="H66" s="1">
        <f t="shared" si="7"/>
        <v>33.4103567859016</v>
      </c>
      <c r="I66" s="1">
        <f t="shared" si="8"/>
        <v>64.47593647549</v>
      </c>
      <c r="J66" s="1">
        <f t="shared" si="9"/>
        <v>97.8862932613916</v>
      </c>
      <c r="K66" s="17">
        <f t="shared" si="10"/>
        <v>0.3936303875113258</v>
      </c>
      <c r="L66">
        <f t="shared" si="11"/>
        <v>0.0006317027121452278</v>
      </c>
      <c r="M66">
        <f t="shared" si="12"/>
        <v>0.02089515476194894</v>
      </c>
      <c r="N66" s="16">
        <f t="shared" si="13"/>
        <v>0.02089515476194894</v>
      </c>
      <c r="O66">
        <f t="shared" si="14"/>
        <v>-6.958600621130009</v>
      </c>
      <c r="P66">
        <f t="shared" si="0"/>
        <v>0.020651717566576053</v>
      </c>
      <c r="Q66">
        <f t="shared" si="15"/>
        <v>0.04316748831722084</v>
      </c>
      <c r="R66">
        <f t="shared" si="16"/>
        <v>-178.8760584331203</v>
      </c>
      <c r="S66">
        <f t="shared" si="17"/>
        <v>0.02089304381613315</v>
      </c>
      <c r="T66">
        <f t="shared" si="18"/>
        <v>0.0003711085371982392</v>
      </c>
      <c r="U66">
        <f t="shared" si="19"/>
        <v>-175.81521330899554</v>
      </c>
      <c r="V66">
        <f t="shared" si="20"/>
        <v>0.020895154603534388</v>
      </c>
      <c r="W66">
        <f t="shared" si="21"/>
        <v>2.7847508299316814E-08</v>
      </c>
      <c r="X66">
        <f t="shared" si="22"/>
        <v>-175.78882851728682</v>
      </c>
      <c r="Y66">
        <f t="shared" si="23"/>
        <v>0.02089515476194894</v>
      </c>
      <c r="Z66">
        <f t="shared" si="24"/>
        <v>0</v>
      </c>
      <c r="AA66">
        <f t="shared" si="25"/>
        <v>-175.78882653735727</v>
      </c>
      <c r="AB66">
        <f t="shared" si="26"/>
        <v>0.02089515476194894</v>
      </c>
      <c r="AC66">
        <f t="shared" si="27"/>
        <v>0</v>
      </c>
      <c r="AD66">
        <f t="shared" si="28"/>
        <v>-175.78882653735727</v>
      </c>
      <c r="AE66">
        <f t="shared" si="29"/>
        <v>0.02089515476194894</v>
      </c>
      <c r="AF66">
        <f t="shared" si="30"/>
        <v>0</v>
      </c>
      <c r="AG66">
        <f t="shared" si="31"/>
        <v>-175.78882653735727</v>
      </c>
      <c r="AH66">
        <f t="shared" si="32"/>
        <v>0.02089515476194894</v>
      </c>
      <c r="AI66">
        <f t="shared" si="33"/>
        <v>0</v>
      </c>
      <c r="AJ66">
        <f t="shared" si="34"/>
        <v>-175.78882653735727</v>
      </c>
      <c r="AK66">
        <f t="shared" si="35"/>
        <v>0.02089515476194894</v>
      </c>
    </row>
    <row r="67" spans="1:37" ht="12.75">
      <c r="A67" s="1">
        <v>700</v>
      </c>
      <c r="B67" s="1">
        <f t="shared" si="1"/>
        <v>0.33036321024000004</v>
      </c>
      <c r="C67" s="1">
        <f t="shared" si="2"/>
        <v>7.9428793843747885</v>
      </c>
      <c r="D67" s="1">
        <f t="shared" si="3"/>
        <v>118199.05982847966</v>
      </c>
      <c r="E67" s="1">
        <f t="shared" si="4"/>
        <v>0.0006518224956979715</v>
      </c>
      <c r="F67" s="1">
        <f t="shared" si="5"/>
        <v>0.020537184545602088</v>
      </c>
      <c r="G67" s="1">
        <f t="shared" si="6"/>
        <v>37.34421852599302</v>
      </c>
      <c r="H67" s="1">
        <f t="shared" si="7"/>
        <v>44.69613871987138</v>
      </c>
      <c r="I67" s="1">
        <f t="shared" si="8"/>
        <v>87.7589135360836</v>
      </c>
      <c r="J67" s="1">
        <f t="shared" si="9"/>
        <v>132.45505225595497</v>
      </c>
      <c r="K67" s="17">
        <f t="shared" si="10"/>
        <v>0.5326418215481544</v>
      </c>
      <c r="L67">
        <f t="shared" si="11"/>
        <v>0.0005414594675530526</v>
      </c>
      <c r="M67">
        <f t="shared" si="12"/>
        <v>0.020537184545602088</v>
      </c>
      <c r="N67" s="16">
        <f t="shared" si="13"/>
        <v>0.020537184545602088</v>
      </c>
      <c r="O67">
        <f t="shared" si="14"/>
        <v>-7.016547049735215</v>
      </c>
      <c r="P67">
        <f t="shared" si="0"/>
        <v>0.020312020048708888</v>
      </c>
      <c r="Q67">
        <f t="shared" si="15"/>
        <v>0.04076042999007523</v>
      </c>
      <c r="R67">
        <f t="shared" si="16"/>
        <v>-182.51641332470606</v>
      </c>
      <c r="S67">
        <f t="shared" si="17"/>
        <v>0.020535344785633014</v>
      </c>
      <c r="T67">
        <f t="shared" si="18"/>
        <v>0.00033034612183513445</v>
      </c>
      <c r="U67">
        <f t="shared" si="19"/>
        <v>-179.57132566226903</v>
      </c>
      <c r="V67">
        <f t="shared" si="20"/>
        <v>0.02053718442300617</v>
      </c>
      <c r="W67">
        <f t="shared" si="21"/>
        <v>2.2011778177954966E-08</v>
      </c>
      <c r="X67">
        <f t="shared" si="22"/>
        <v>-179.54739598832268</v>
      </c>
      <c r="Y67">
        <f t="shared" si="23"/>
        <v>0.020537184545602088</v>
      </c>
      <c r="Z67">
        <f t="shared" si="24"/>
        <v>0</v>
      </c>
      <c r="AA67">
        <f t="shared" si="25"/>
        <v>-179.5473943937944</v>
      </c>
      <c r="AB67">
        <f t="shared" si="26"/>
        <v>0.020537184545602088</v>
      </c>
      <c r="AC67">
        <f t="shared" si="27"/>
        <v>0</v>
      </c>
      <c r="AD67">
        <f t="shared" si="28"/>
        <v>-179.5473943937944</v>
      </c>
      <c r="AE67">
        <f t="shared" si="29"/>
        <v>0.020537184545602088</v>
      </c>
      <c r="AF67">
        <f t="shared" si="30"/>
        <v>0</v>
      </c>
      <c r="AG67">
        <f t="shared" si="31"/>
        <v>-179.5473943937944</v>
      </c>
      <c r="AH67">
        <f t="shared" si="32"/>
        <v>0.020537184545602088</v>
      </c>
      <c r="AI67">
        <f t="shared" si="33"/>
        <v>0</v>
      </c>
      <c r="AJ67">
        <f t="shared" si="34"/>
        <v>-179.5473943937944</v>
      </c>
      <c r="AK67">
        <f t="shared" si="35"/>
        <v>0.020537184545602088</v>
      </c>
    </row>
    <row r="68" spans="1:37" ht="12.75">
      <c r="A68" s="1">
        <v>800</v>
      </c>
      <c r="B68" s="1">
        <f>(A68*(0.3048)^3)/60</f>
        <v>0.3775579545600001</v>
      </c>
      <c r="C68" s="1">
        <f>B68/$E$45</f>
        <v>9.077576439285474</v>
      </c>
      <c r="D68" s="1">
        <f>C68*$E$44/$E$41</f>
        <v>135084.63980397678</v>
      </c>
      <c r="E68" s="1">
        <f>$E$47</f>
        <v>0.0006518224956979715</v>
      </c>
      <c r="F68" s="1">
        <f>N68</f>
        <v>0.020254543036198596</v>
      </c>
      <c r="G68" s="1">
        <f>0.5*$E$40*C68*C68</f>
        <v>48.77612215639906</v>
      </c>
      <c r="H68" s="1">
        <f>G68*F68*$E$48/$E$44</f>
        <v>57.575198510793705</v>
      </c>
      <c r="I68" s="1">
        <f>G68*$E$54</f>
        <v>114.6238870675378</v>
      </c>
      <c r="J68" s="1">
        <f>H68+I68</f>
        <v>172.1990855783315</v>
      </c>
      <c r="K68" s="17">
        <f t="shared" si="10"/>
        <v>0.692464598738969</v>
      </c>
      <c r="L68">
        <f>64/D68</f>
        <v>0.0004737770341089209</v>
      </c>
      <c r="M68">
        <f t="shared" si="12"/>
        <v>0.020254543036198596</v>
      </c>
      <c r="N68" s="16">
        <f>IF(D68&lt;$R$57,L68,M68)</f>
        <v>0.020254543036198596</v>
      </c>
      <c r="O68">
        <f>1.8*LOG(6.9/$D68+($E68/3.7)^1.11)</f>
        <v>-7.063012123171777</v>
      </c>
      <c r="P68">
        <f t="shared" si="0"/>
        <v>0.02004564784822124</v>
      </c>
      <c r="Q68">
        <f>1/SQRT(P68)+2*LOG($E68/3.7+2.51/($D68*SQRT(P68)))</f>
        <v>0.03843586526254139</v>
      </c>
      <c r="R68">
        <f>-0.5*(P68^(-1.5))*(1+2*2.51/(LN(10)*$D68)/($E68/3.7+2.51/($D68*SQRT(P68))))</f>
        <v>-185.42253185711462</v>
      </c>
      <c r="S68">
        <f t="shared" si="17"/>
        <v>0.020252935845411137</v>
      </c>
      <c r="T68">
        <f>1/SQRT(S68)+2*LOG($E68/3.7+2.51/($D68*SQRT(S68)))</f>
        <v>0.0002934607309841297</v>
      </c>
      <c r="U68">
        <f>-0.5*(S68^(-1.5))*(1+2*2.51/(LN(10)*$D68)/($E68/3.7+2.51/($D68*SQRT(S68))))</f>
        <v>-182.60313285287748</v>
      </c>
      <c r="V68">
        <f t="shared" si="20"/>
        <v>0.020254542941228165</v>
      </c>
      <c r="W68">
        <f>1/SQRT(V68)+2*LOG($E68/3.7+2.51/($D68*SQRT(V68)))</f>
        <v>1.7339848668029845E-08</v>
      </c>
      <c r="X68">
        <f>-0.5*(V68^(-1.5))*(1+2*2.51/(LN(10)*$D68)/($E68/3.7+2.51/($D68*SQRT(V68))))</f>
        <v>-182.5815544545408</v>
      </c>
      <c r="Y68">
        <f t="shared" si="23"/>
        <v>0.020254543036198596</v>
      </c>
      <c r="Z68">
        <f>1/SQRT(Y68)+2*LOG($E68/3.7+2.51/($D68*SQRT(Y68)))</f>
        <v>0</v>
      </c>
      <c r="AA68">
        <f>-0.5*(Y68^(-1.5))*(1+2*2.51/(LN(10)*$D68)/($E68/3.7+2.51/($D68*SQRT(Y68))))</f>
        <v>-182.5815531795034</v>
      </c>
      <c r="AB68">
        <f t="shared" si="26"/>
        <v>0.020254543036198596</v>
      </c>
      <c r="AC68">
        <f>1/SQRT(AB68)+2*LOG($E68/3.7+2.51/($D68*SQRT(AB68)))</f>
        <v>0</v>
      </c>
      <c r="AD68">
        <f>-0.5*(AB68^(-1.5))*(1+2*2.51/(LN(10)*$D68)/($E68/3.7+2.51/($D68*SQRT(AB68))))</f>
        <v>-182.5815531795034</v>
      </c>
      <c r="AE68">
        <f t="shared" si="29"/>
        <v>0.020254543036198596</v>
      </c>
      <c r="AF68">
        <f>1/SQRT(AE68)+2*LOG($E68/3.7+2.51/($D68*SQRT(AE68)))</f>
        <v>0</v>
      </c>
      <c r="AG68">
        <f>-0.5*(AE68^(-1.5))*(1+2*2.51/(LN(10)*$D68)/($E68/3.7+2.51/($D68*SQRT(AE68))))</f>
        <v>-182.5815531795034</v>
      </c>
      <c r="AH68">
        <f t="shared" si="32"/>
        <v>0.020254543036198596</v>
      </c>
      <c r="AI68">
        <f>1/SQRT(AH68)+2*LOG($E68/3.7+2.51/($D68*SQRT(AH68)))</f>
        <v>0</v>
      </c>
      <c r="AJ68">
        <f>-0.5*(AH68^(-1.5))*(1+2*2.51/(LN(10)*$D68)/($E68/3.7+2.51/($D68*SQRT(AH68))))</f>
        <v>-182.5815531795034</v>
      </c>
      <c r="AK68">
        <f t="shared" si="35"/>
        <v>0.020254543036198596</v>
      </c>
    </row>
    <row r="69" spans="1:37" ht="12.75">
      <c r="A69" s="1">
        <v>900</v>
      </c>
      <c r="B69" s="1">
        <f t="shared" si="1"/>
        <v>0.42475269888000006</v>
      </c>
      <c r="C69" s="1">
        <f t="shared" si="2"/>
        <v>10.212273494196157</v>
      </c>
      <c r="D69" s="1">
        <f t="shared" si="3"/>
        <v>151970.21977947387</v>
      </c>
      <c r="E69" s="1">
        <f t="shared" si="4"/>
        <v>0.0006518224956979715</v>
      </c>
      <c r="F69" s="1">
        <f>N69</f>
        <v>0.020025234526434645</v>
      </c>
      <c r="G69" s="1">
        <f>0.5*$E$40*C69*C69</f>
        <v>61.732279604192556</v>
      </c>
      <c r="H69" s="1">
        <f>G69*F69*$E$48/$E$44</f>
        <v>72.04364050955938</v>
      </c>
      <c r="I69" s="1">
        <f>G69*$E$54</f>
        <v>145.0708570698525</v>
      </c>
      <c r="J69" s="1">
        <f>H69+I69</f>
        <v>217.11449757941187</v>
      </c>
      <c r="K69" s="17">
        <f t="shared" si="10"/>
        <v>0.8730830535005971</v>
      </c>
      <c r="L69">
        <f>64/D69</f>
        <v>0.00042113514143015193</v>
      </c>
      <c r="M69">
        <f>AK69</f>
        <v>0.020025234526434645</v>
      </c>
      <c r="N69" s="16">
        <f>IF(D69&lt;$R$57,L69,M69)</f>
        <v>0.020025234526434645</v>
      </c>
      <c r="O69">
        <f t="shared" si="14"/>
        <v>-7.101163260732526</v>
      </c>
      <c r="P69">
        <f t="shared" si="0"/>
        <v>0.019830835180182724</v>
      </c>
      <c r="Q69">
        <f t="shared" si="15"/>
        <v>0.036242887403711066</v>
      </c>
      <c r="R69">
        <f>-0.5*(P69^(-1.5))*(1+2*2.51/(LN(10)*$D69)/($E69/3.7+2.51/($D69*SQRT(P69))))</f>
        <v>-187.79629886709418</v>
      </c>
      <c r="S69">
        <f>P69-Q69/R69</f>
        <v>0.02002382560450073</v>
      </c>
      <c r="T69">
        <f t="shared" si="18"/>
        <v>0.0002607841931068222</v>
      </c>
      <c r="U69">
        <f>-0.5*(S69^(-1.5))*(1+2*2.51/(LN(10)*$D69)/($E69/3.7+2.51/($D69*SQRT(S69))))</f>
        <v>-185.1045564792945</v>
      </c>
      <c r="V69">
        <f>S69-T69/U69</f>
        <v>0.020025234452548918</v>
      </c>
      <c r="W69">
        <f t="shared" si="21"/>
        <v>1.3675150789538293E-08</v>
      </c>
      <c r="X69">
        <f>-0.5*(V69^(-1.5))*(1+2*2.51/(LN(10)*$D69)/($E69/3.7+2.51/($D69*SQRT(V69))))</f>
        <v>-185.08514381085624</v>
      </c>
      <c r="Y69">
        <f>V69-W69/X69</f>
        <v>0.020025234526434645</v>
      </c>
      <c r="Z69">
        <f t="shared" si="24"/>
        <v>0</v>
      </c>
      <c r="AA69">
        <f>-0.5*(Y69^(-1.5))*(1+2*2.51/(LN(10)*$D69)/($E69/3.7+2.51/($D69*SQRT(Y69))))</f>
        <v>-185.085142792866</v>
      </c>
      <c r="AB69">
        <f>Y69-Z69/AA69</f>
        <v>0.020025234526434645</v>
      </c>
      <c r="AC69">
        <f t="shared" si="27"/>
        <v>0</v>
      </c>
      <c r="AD69">
        <f>-0.5*(AB69^(-1.5))*(1+2*2.51/(LN(10)*$D69)/($E69/3.7+2.51/($D69*SQRT(AB69))))</f>
        <v>-185.085142792866</v>
      </c>
      <c r="AE69">
        <f>AB69-AC69/AD69</f>
        <v>0.020025234526434645</v>
      </c>
      <c r="AF69">
        <f t="shared" si="30"/>
        <v>0</v>
      </c>
      <c r="AG69">
        <f>-0.5*(AE69^(-1.5))*(1+2*2.51/(LN(10)*$D69)/($E69/3.7+2.51/($D69*SQRT(AE69))))</f>
        <v>-185.085142792866</v>
      </c>
      <c r="AH69">
        <f>AE69-AF69/AG69</f>
        <v>0.020025234526434645</v>
      </c>
      <c r="AI69">
        <f t="shared" si="33"/>
        <v>0</v>
      </c>
      <c r="AJ69">
        <f>-0.5*(AH69^(-1.5))*(1+2*2.51/(LN(10)*$D69)/($E69/3.7+2.51/($D69*SQRT(AH69))))</f>
        <v>-185.085142792866</v>
      </c>
      <c r="AK69">
        <f>AH69-AI69/AJ69</f>
        <v>0.020025234526434645</v>
      </c>
    </row>
    <row r="70" spans="1:37" ht="12.75">
      <c r="A70" s="1">
        <v>1000</v>
      </c>
      <c r="B70" s="1">
        <f t="shared" si="1"/>
        <v>0.4719474432000001</v>
      </c>
      <c r="C70" s="1">
        <f t="shared" si="2"/>
        <v>11.346970549106842</v>
      </c>
      <c r="D70" s="1">
        <f t="shared" si="3"/>
        <v>168855.79975497097</v>
      </c>
      <c r="E70" s="1">
        <f t="shared" si="4"/>
        <v>0.0006518224956979715</v>
      </c>
      <c r="F70" s="1">
        <f>N70</f>
        <v>0.019835188016328113</v>
      </c>
      <c r="G70" s="1">
        <f>0.5*$E$40*C70*C70</f>
        <v>76.21269086937355</v>
      </c>
      <c r="H70" s="1">
        <f>G70*F70*$E$48/$E$44</f>
        <v>88.09866796750987</v>
      </c>
      <c r="I70" s="1">
        <f>G70*$E$54</f>
        <v>179.09982354302784</v>
      </c>
      <c r="J70" s="1">
        <f>H70+I70</f>
        <v>267.1984915105377</v>
      </c>
      <c r="K70" s="17">
        <f t="shared" si="10"/>
        <v>1.0744859392609039</v>
      </c>
      <c r="L70">
        <f>64/D70</f>
        <v>0.00037902162728713673</v>
      </c>
      <c r="M70">
        <f>AK70</f>
        <v>0.019835188016328113</v>
      </c>
      <c r="N70" s="16">
        <f>IF(D70&lt;$R$57,L70,M70)</f>
        <v>0.019835188016328113</v>
      </c>
      <c r="O70">
        <f t="shared" si="14"/>
        <v>-7.133084140705288</v>
      </c>
      <c r="P70">
        <f t="shared" si="0"/>
        <v>0.019653744512138253</v>
      </c>
      <c r="Q70">
        <f t="shared" si="15"/>
        <v>0.03419750169431435</v>
      </c>
      <c r="R70">
        <f>-0.5*(P70^(-1.5))*(1+2*2.51/(LN(10)*$D70)/($E70/3.7+2.51/($D70*SQRT(P70))))</f>
        <v>-189.77149548128554</v>
      </c>
      <c r="S70">
        <f>P70-Q70/R70</f>
        <v>0.019833948085955202</v>
      </c>
      <c r="T70">
        <f t="shared" si="18"/>
        <v>0.0002321105012024205</v>
      </c>
      <c r="U70">
        <f>-0.5*(S70^(-1.5))*(1+2*2.51/(LN(10)*$D70)/($E70/3.7+2.51/($D70*SQRT(S70))))</f>
        <v>-187.20512824209177</v>
      </c>
      <c r="V70">
        <f>S70-T70/U70</f>
        <v>0.019835187958513086</v>
      </c>
      <c r="W70">
        <f t="shared" si="21"/>
        <v>1.0822260421150531E-08</v>
      </c>
      <c r="X70">
        <f>-0.5*(V70^(-1.5))*(1+2*2.51/(LN(10)*$D70)/($E70/3.7+2.51/($D70*SQRT(V70))))</f>
        <v>-187.18767164086938</v>
      </c>
      <c r="Y70">
        <f>V70-W70/X70</f>
        <v>0.019835188016328113</v>
      </c>
      <c r="Z70">
        <f t="shared" si="24"/>
        <v>0</v>
      </c>
      <c r="AA70">
        <f>-0.5*(Y70^(-1.5))*(1+2*2.51/(LN(10)*$D70)/($E70/3.7+2.51/($D70*SQRT(Y70))))</f>
        <v>-187.18767082693472</v>
      </c>
      <c r="AB70">
        <f>Y70-Z70/AA70</f>
        <v>0.019835188016328113</v>
      </c>
      <c r="AC70">
        <f t="shared" si="27"/>
        <v>0</v>
      </c>
      <c r="AD70">
        <f>-0.5*(AB70^(-1.5))*(1+2*2.51/(LN(10)*$D70)/($E70/3.7+2.51/($D70*SQRT(AB70))))</f>
        <v>-187.18767082693472</v>
      </c>
      <c r="AE70">
        <f>AB70-AC70/AD70</f>
        <v>0.019835188016328113</v>
      </c>
      <c r="AF70">
        <f t="shared" si="30"/>
        <v>0</v>
      </c>
      <c r="AG70">
        <f>-0.5*(AE70^(-1.5))*(1+2*2.51/(LN(10)*$D70)/($E70/3.7+2.51/($D70*SQRT(AE70))))</f>
        <v>-187.18767082693472</v>
      </c>
      <c r="AH70">
        <f>AE70-AF70/AG70</f>
        <v>0.019835188016328113</v>
      </c>
      <c r="AI70">
        <f t="shared" si="33"/>
        <v>0</v>
      </c>
      <c r="AJ70">
        <f>-0.5*(AH70^(-1.5))*(1+2*2.51/(LN(10)*$D70)/($E70/3.7+2.51/($D70*SQRT(AH70))))</f>
        <v>-187.18767082693472</v>
      </c>
      <c r="AK70">
        <f>AH70-AI70/AJ70</f>
        <v>0.019835188016328113</v>
      </c>
    </row>
    <row r="71" spans="1:37" ht="12.75">
      <c r="A71" s="1">
        <v>1100</v>
      </c>
      <c r="B71" s="1">
        <f t="shared" si="1"/>
        <v>0.5191421875200001</v>
      </c>
      <c r="C71" s="1">
        <f t="shared" si="2"/>
        <v>12.481667604017526</v>
      </c>
      <c r="D71" s="1">
        <f t="shared" si="3"/>
        <v>185741.37973046803</v>
      </c>
      <c r="E71" s="1">
        <f t="shared" si="4"/>
        <v>0.0006518224956979715</v>
      </c>
      <c r="F71" s="1">
        <f>N71</f>
        <v>0.01967494750138636</v>
      </c>
      <c r="G71" s="1">
        <f>0.5*$E$40*C71*C71</f>
        <v>92.21735595194197</v>
      </c>
      <c r="H71" s="1">
        <f>G71*F71*$E$48/$E$44</f>
        <v>105.7382146107671</v>
      </c>
      <c r="I71" s="1">
        <f>G71*$E$54</f>
        <v>216.71078648706364</v>
      </c>
      <c r="J71" s="1">
        <f>H71+I71</f>
        <v>322.4490010978308</v>
      </c>
      <c r="K71" s="17">
        <f t="shared" si="10"/>
        <v>1.2966649469077527</v>
      </c>
      <c r="L71">
        <f>64/D71</f>
        <v>0.0003445651157155789</v>
      </c>
      <c r="M71">
        <f>AK71</f>
        <v>0.01967494750138636</v>
      </c>
      <c r="N71" s="16">
        <f>IF(D71&lt;$R$57,L71,M71)</f>
        <v>0.01967494750138636</v>
      </c>
      <c r="O71">
        <f t="shared" si="14"/>
        <v>-7.160206913298989</v>
      </c>
      <c r="P71">
        <f t="shared" si="0"/>
        <v>0.019505130252925617</v>
      </c>
      <c r="Q71">
        <f t="shared" si="15"/>
        <v>0.0323001588082974</v>
      </c>
      <c r="R71">
        <f>-0.5*(P71^(-1.5))*(1+2*2.51/(LN(10)*$D71)/($E71/3.7+2.51/($D71*SQRT(P71))))</f>
        <v>-191.4404387412217</v>
      </c>
      <c r="S71">
        <f>P71-Q71/R71</f>
        <v>0.019673851966168027</v>
      </c>
      <c r="T71">
        <f t="shared" si="18"/>
        <v>0.00020704201249799326</v>
      </c>
      <c r="U71">
        <f>-0.5*(S71^(-1.5))*(1+2*2.51/(LN(10)*$D71)/($E71/3.7+2.51/($D71*SQRT(S71))))</f>
        <v>-188.99494396966372</v>
      </c>
      <c r="V71">
        <f>S71-T71/U71</f>
        <v>0.01967494745585759</v>
      </c>
      <c r="W71">
        <f t="shared" si="21"/>
        <v>8.603992185385323E-09</v>
      </c>
      <c r="X71">
        <f>-0.5*(V71^(-1.5))*(1+2*2.51/(LN(10)*$D71)/($E71/3.7+2.51/($D71*SQRT(V71))))</f>
        <v>-188.9792363035211</v>
      </c>
      <c r="Y71">
        <f>V71-W71/X71</f>
        <v>0.01967494750138636</v>
      </c>
      <c r="Z71">
        <f t="shared" si="24"/>
        <v>0</v>
      </c>
      <c r="AA71">
        <f>-0.5*(Y71^(-1.5))*(1+2*2.51/(LN(10)*$D71)/($E71/3.7+2.51/($D71*SQRT(Y71))))</f>
        <v>-188.97923565075274</v>
      </c>
      <c r="AB71">
        <f>Y71-Z71/AA71</f>
        <v>0.01967494750138636</v>
      </c>
      <c r="AC71">
        <f t="shared" si="27"/>
        <v>0</v>
      </c>
      <c r="AD71">
        <f>-0.5*(AB71^(-1.5))*(1+2*2.51/(LN(10)*$D71)/($E71/3.7+2.51/($D71*SQRT(AB71))))</f>
        <v>-188.97923565075274</v>
      </c>
      <c r="AE71">
        <f>AB71-AC71/AD71</f>
        <v>0.01967494750138636</v>
      </c>
      <c r="AF71">
        <f t="shared" si="30"/>
        <v>0</v>
      </c>
      <c r="AG71">
        <f>-0.5*(AE71^(-1.5))*(1+2*2.51/(LN(10)*$D71)/($E71/3.7+2.51/($D71*SQRT(AE71))))</f>
        <v>-188.97923565075274</v>
      </c>
      <c r="AH71">
        <f>AE71-AF71/AG71</f>
        <v>0.01967494750138636</v>
      </c>
      <c r="AI71">
        <f t="shared" si="33"/>
        <v>0</v>
      </c>
      <c r="AJ71">
        <f>-0.5*(AH71^(-1.5))*(1+2*2.51/(LN(10)*$D71)/($E71/3.7+2.51/($D71*SQRT(AH71))))</f>
        <v>-188.97923565075274</v>
      </c>
      <c r="AK71">
        <f>AH71-AI71/AJ71</f>
        <v>0.01967494750138636</v>
      </c>
    </row>
    <row r="72" spans="1:37" ht="12.75">
      <c r="A72" s="1">
        <v>1200</v>
      </c>
      <c r="B72" s="1">
        <f t="shared" si="1"/>
        <v>0.5663369318400001</v>
      </c>
      <c r="C72" s="1">
        <f t="shared" si="2"/>
        <v>13.61636465892821</v>
      </c>
      <c r="D72" s="1">
        <f t="shared" si="3"/>
        <v>202626.9597059652</v>
      </c>
      <c r="E72" s="1">
        <f t="shared" si="4"/>
        <v>0.0006518224956979715</v>
      </c>
      <c r="F72" s="1">
        <f>N72</f>
        <v>0.01953790514383288</v>
      </c>
      <c r="G72" s="1">
        <f>0.5*$E$40*C72*C72</f>
        <v>109.74627485189788</v>
      </c>
      <c r="H72" s="1">
        <f>G72*F72*$E$48/$E$44</f>
        <v>124.96071728423482</v>
      </c>
      <c r="I72" s="1">
        <f>G72*$E$54</f>
        <v>257.90374590196</v>
      </c>
      <c r="J72" s="1">
        <f>H72+I72</f>
        <v>382.8644631861948</v>
      </c>
      <c r="K72" s="17">
        <f t="shared" si="10"/>
        <v>1.5396137905217788</v>
      </c>
      <c r="L72">
        <f>64/D72</f>
        <v>0.0003158513560726139</v>
      </c>
      <c r="M72">
        <f>AK72</f>
        <v>0.01953790514383288</v>
      </c>
      <c r="N72" s="16">
        <f>IF(D72&lt;$R$57,L72,M72)</f>
        <v>0.01953790514383288</v>
      </c>
      <c r="O72">
        <f t="shared" si="14"/>
        <v>-7.18355100916108</v>
      </c>
      <c r="P72">
        <f t="shared" si="0"/>
        <v>0.019378566163192477</v>
      </c>
      <c r="Q72">
        <f t="shared" si="15"/>
        <v>0.030544133090068648</v>
      </c>
      <c r="R72">
        <f>-0.5*(P72^(-1.5))*(1+2*2.51/(LN(10)*$D72)/($E72/3.7+2.51/($D72*SQRT(P72))))</f>
        <v>-192.86895366000905</v>
      </c>
      <c r="S72">
        <f>P72-Q72/R72</f>
        <v>0.019536933450982674</v>
      </c>
      <c r="T72">
        <f t="shared" si="18"/>
        <v>0.00018513826106314468</v>
      </c>
      <c r="U72">
        <f>-0.5*(S72^(-1.5))*(1+2*2.51/(LN(10)*$D72)/($E72/3.7+2.51/($D72*SQRT(S72))))</f>
        <v>-190.53874582470473</v>
      </c>
      <c r="V72">
        <f>S72-T72/U72</f>
        <v>0.019537905107746036</v>
      </c>
      <c r="W72">
        <f t="shared" si="21"/>
        <v>6.875431779462815E-09</v>
      </c>
      <c r="X72">
        <f>-0.5*(V72^(-1.5))*(1+2*2.51/(LN(10)*$D72)/($E72/3.7+2.51/($D72*SQRT(V72))))</f>
        <v>-190.52459414143576</v>
      </c>
      <c r="Y72">
        <f>V72-W72/X72</f>
        <v>0.01953790514383288</v>
      </c>
      <c r="Z72">
        <f t="shared" si="24"/>
        <v>0</v>
      </c>
      <c r="AA72">
        <f>-0.5*(Y72^(-1.5))*(1+2*2.51/(LN(10)*$D72)/($E72/3.7+2.51/($D72*SQRT(Y72))))</f>
        <v>-190.52459361588186</v>
      </c>
      <c r="AB72">
        <f>Y72-Z72/AA72</f>
        <v>0.01953790514383288</v>
      </c>
      <c r="AC72">
        <f t="shared" si="27"/>
        <v>0</v>
      </c>
      <c r="AD72">
        <f>-0.5*(AB72^(-1.5))*(1+2*2.51/(LN(10)*$D72)/($E72/3.7+2.51/($D72*SQRT(AB72))))</f>
        <v>-190.52459361588186</v>
      </c>
      <c r="AE72">
        <f>AB72-AC72/AD72</f>
        <v>0.01953790514383288</v>
      </c>
      <c r="AF72">
        <f t="shared" si="30"/>
        <v>0</v>
      </c>
      <c r="AG72">
        <f>-0.5*(AE72^(-1.5))*(1+2*2.51/(LN(10)*$D72)/($E72/3.7+2.51/($D72*SQRT(AE72))))</f>
        <v>-190.52459361588186</v>
      </c>
      <c r="AH72">
        <f>AE72-AF72/AG72</f>
        <v>0.01953790514383288</v>
      </c>
      <c r="AI72">
        <f t="shared" si="33"/>
        <v>0</v>
      </c>
      <c r="AJ72">
        <f>-0.5*(AH72^(-1.5))*(1+2*2.51/(LN(10)*$D72)/($E72/3.7+2.51/($D72*SQRT(AH72))))</f>
        <v>-190.52459361588186</v>
      </c>
      <c r="AK72">
        <f>AH72-AI72/AJ72</f>
        <v>0.01953790514383288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2002-03-15T17:04:09Z</dcterms:created>
  <dcterms:modified xsi:type="dcterms:W3CDTF">2002-06-11T20:34:54Z</dcterms:modified>
  <cp:category/>
  <cp:version/>
  <cp:contentType/>
  <cp:contentStatus/>
</cp:coreProperties>
</file>