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195" windowWidth="5280" windowHeight="873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'Sheet1'!$U$34:$W$34</definedName>
    <definedName name="solver_cvg" localSheetId="0" hidden="1">0.0000001</definedName>
    <definedName name="solver_drv" localSheetId="0" hidden="1">1</definedName>
    <definedName name="solver_est" localSheetId="0" hidden="1">1</definedName>
    <definedName name="solver_itr" localSheetId="0" hidden="1">1000</definedName>
    <definedName name="solver_lhs1" localSheetId="0" hidden="1">'Sheet1'!$S$34</definedName>
    <definedName name="solver_lhs2" localSheetId="0" hidden="1">'Sheet1'!$R$34</definedName>
    <definedName name="solver_lhs3" localSheetId="0" hidden="1">'Sheet1'!$U$34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'Sheet1'!$T$34</definedName>
    <definedName name="solver_pre" localSheetId="0" hidden="1">0.00000000001</definedName>
    <definedName name="solver_rel1" localSheetId="0" hidden="1">2</definedName>
    <definedName name="solver_rel2" localSheetId="0" hidden="1">2</definedName>
    <definedName name="solver_rel3" localSheetId="0" hidden="1">3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</definedName>
    <definedName name="solver_tol" localSheetId="0" hidden="1">0.0000001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<sst xmlns="http://schemas.openxmlformats.org/spreadsheetml/2006/main" count="84" uniqueCount="61">
  <si>
    <t>J. M. Cimbala, November 2001</t>
  </si>
  <si>
    <t>Kn</t>
  </si>
  <si>
    <t>C</t>
  </si>
  <si>
    <r>
      <t>D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 xml:space="preserve"> (</t>
    </r>
    <r>
      <rPr>
        <b/>
        <sz val="10"/>
        <rFont val="Symbol"/>
        <family val="1"/>
      </rPr>
      <t>m</t>
    </r>
    <r>
      <rPr>
        <b/>
        <sz val="10"/>
        <rFont val="Arial"/>
        <family val="0"/>
      </rPr>
      <t>m)</t>
    </r>
  </si>
  <si>
    <r>
      <t>l</t>
    </r>
    <r>
      <rPr>
        <sz val="10"/>
        <rFont val="Arial"/>
        <family val="0"/>
      </rPr>
      <t xml:space="preserve"> = </t>
    </r>
  </si>
  <si>
    <r>
      <t>m</t>
    </r>
    <r>
      <rPr>
        <sz val="10"/>
        <rFont val="Arial"/>
        <family val="0"/>
      </rPr>
      <t>m</t>
    </r>
  </si>
  <si>
    <t>Terminal velocity of particles falling in quiescent air at STP</t>
  </si>
  <si>
    <t xml:space="preserve">g = </t>
  </si>
  <si>
    <t>m/s</t>
  </si>
  <si>
    <r>
      <t>m</t>
    </r>
    <r>
      <rPr>
        <sz val="10"/>
        <rFont val="Arial"/>
        <family val="0"/>
      </rPr>
      <t xml:space="preserve"> = </t>
    </r>
  </si>
  <si>
    <t>mean free path</t>
  </si>
  <si>
    <t>gravitational constant</t>
  </si>
  <si>
    <t>viscosity of air</t>
  </si>
  <si>
    <r>
      <t>r</t>
    </r>
    <r>
      <rPr>
        <sz val="10"/>
        <rFont val="Times New Roman"/>
        <family val="1"/>
      </rPr>
      <t xml:space="preserve"> = </t>
    </r>
  </si>
  <si>
    <r>
      <t>kg/m</t>
    </r>
    <r>
      <rPr>
        <vertAlign val="superscript"/>
        <sz val="10"/>
        <rFont val="Times New Roman"/>
        <family val="1"/>
      </rPr>
      <t>3</t>
    </r>
  </si>
  <si>
    <t>density of air</t>
  </si>
  <si>
    <r>
      <t>r</t>
    </r>
    <r>
      <rPr>
        <b/>
        <vertAlign val="subscript"/>
        <sz val="10"/>
        <rFont val="Times New Roman"/>
        <family val="1"/>
      </rPr>
      <t>p</t>
    </r>
    <r>
      <rPr>
        <b/>
        <sz val="10"/>
        <rFont val="Times New Roman"/>
        <family val="1"/>
      </rPr>
      <t xml:space="preserve"> = </t>
    </r>
  </si>
  <si>
    <r>
      <t>t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(s)</t>
    </r>
  </si>
  <si>
    <r>
      <t>v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0"/>
      </rPr>
      <t xml:space="preserve"> (m/s)</t>
    </r>
  </si>
  <si>
    <r>
      <t>kg/m</t>
    </r>
    <r>
      <rPr>
        <b/>
        <vertAlign val="superscript"/>
        <sz val="10"/>
        <rFont val="Times New Roman"/>
        <family val="1"/>
      </rPr>
      <t>3</t>
    </r>
  </si>
  <si>
    <r>
      <t>D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 xml:space="preserve"> (</t>
    </r>
    <r>
      <rPr>
        <b/>
        <sz val="10"/>
        <rFont val="Arial"/>
        <family val="0"/>
      </rPr>
      <t>m)</t>
    </r>
  </si>
  <si>
    <t xml:space="preserve">P = </t>
  </si>
  <si>
    <t>Pa</t>
  </si>
  <si>
    <t>air pressure in pascals</t>
  </si>
  <si>
    <t xml:space="preserve"> = </t>
  </si>
  <si>
    <t>m</t>
  </si>
  <si>
    <t>Re</t>
  </si>
  <si>
    <r>
      <t>Plot of v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vs. D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:</t>
    </r>
  </si>
  <si>
    <t>Constants:</t>
  </si>
  <si>
    <t xml:space="preserve">T = </t>
  </si>
  <si>
    <t>K</t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</si>
  <si>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</t>
    </r>
  </si>
  <si>
    <t>air temperature</t>
  </si>
  <si>
    <t>reference temperature for Sutherland Law</t>
  </si>
  <si>
    <t xml:space="preserve">R = </t>
  </si>
  <si>
    <t>J/(kg K)</t>
  </si>
  <si>
    <t>gas constant for air</t>
  </si>
  <si>
    <r>
      <t>S</t>
    </r>
    <r>
      <rPr>
        <vertAlign val="subscript"/>
        <sz val="10"/>
        <rFont val="Arial"/>
        <family val="2"/>
      </rPr>
      <t>air</t>
    </r>
    <r>
      <rPr>
        <sz val="10"/>
        <rFont val="Arial"/>
        <family val="0"/>
      </rPr>
      <t xml:space="preserve"> = </t>
    </r>
  </si>
  <si>
    <t>Sutherland constant for air, Sutherland Law</t>
  </si>
  <si>
    <r>
      <t>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</t>
    </r>
  </si>
  <si>
    <t>kg/(m s)</t>
  </si>
  <si>
    <t>reference viscosity for Sutherland Law</t>
  </si>
  <si>
    <r>
      <t>o</t>
    </r>
    <r>
      <rPr>
        <sz val="10"/>
        <rFont val="Times New Roman"/>
        <family val="1"/>
      </rPr>
      <t>C</t>
    </r>
  </si>
  <si>
    <r>
      <t>n</t>
    </r>
    <r>
      <rPr>
        <sz val="10"/>
        <rFont val="Times New Roman"/>
        <family val="1"/>
      </rPr>
      <t xml:space="preserve"> = </t>
    </r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</si>
  <si>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/s</t>
    </r>
  </si>
  <si>
    <t>kinematic viscosity of air</t>
  </si>
  <si>
    <t>Calculations:</t>
  </si>
  <si>
    <t>Stokes flow approximation</t>
  </si>
  <si>
    <r>
      <t>c</t>
    </r>
    <r>
      <rPr>
        <b/>
        <vertAlign val="subscript"/>
        <sz val="10"/>
        <rFont val="Arial"/>
        <family val="2"/>
      </rPr>
      <t>D</t>
    </r>
  </si>
  <si>
    <r>
      <t>Eq. for c</t>
    </r>
    <r>
      <rPr>
        <b/>
        <vertAlign val="subscript"/>
        <sz val="10"/>
        <rFont val="Arial"/>
        <family val="2"/>
      </rPr>
      <t>D</t>
    </r>
  </si>
  <si>
    <t>Eq. for Re</t>
  </si>
  <si>
    <r>
      <t>Eq. for v</t>
    </r>
    <r>
      <rPr>
        <b/>
        <vertAlign val="subscript"/>
        <sz val="10"/>
        <rFont val="Arial"/>
        <family val="2"/>
      </rPr>
      <t>t</t>
    </r>
  </si>
  <si>
    <r>
      <t>Transitional flow regime - simultaneous equation solver for Re, c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>, and v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:</t>
    </r>
  </si>
  <si>
    <t>dummy</t>
  </si>
  <si>
    <t>I can't get this to work right for small diameter cases. It will not solve this set of equations.</t>
  </si>
  <si>
    <t>Note: Stokes flow is assumed in this portion - results are not accurate if Re greater than about 0.1 or so.</t>
  </si>
  <si>
    <t>Stokes flow</t>
  </si>
  <si>
    <r>
      <t>Terminal velocity as a function of particle diameter for air at STP using the general expression for c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and solving simultaneously in Mathcad:</t>
    </r>
  </si>
  <si>
    <r>
      <t>(unit density sphere assumed, i.e. density = 1000 kg/m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).</t>
    </r>
  </si>
  <si>
    <t>Comparison plot of Stokes flow and the more exact analysis:</t>
  </si>
  <si>
    <t>Re, Eq. (8-99)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</si>
</sst>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E+00"/>
    <numFmt numFmtId="166" formatCode="0.0000"/>
    <numFmt numFmtId="167" formatCode="00000"/>
    <numFmt numFmtId="168" formatCode="0.E+00"/>
  </numFmts>
  <fonts count="20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0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bscript"/>
      <sz val="10"/>
      <name val="Arial"/>
      <family val="2"/>
    </font>
    <font>
      <sz val="10.25"/>
      <name val="Arial"/>
      <family val="0"/>
    </font>
    <font>
      <sz val="10"/>
      <color indexed="10"/>
      <name val="Arial"/>
      <family val="2"/>
    </font>
    <font>
      <sz val="8.75"/>
      <name val="Arial"/>
      <family val="0"/>
    </font>
    <font>
      <b/>
      <vertAlign val="superscript"/>
      <sz val="10"/>
      <name val="Arial"/>
      <family val="2"/>
    </font>
    <font>
      <sz val="9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1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SG1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Sheet1!$A$24:$A$35</c:f>
              <c:numCache/>
            </c:numRef>
          </c:xVal>
          <c:yVal>
            <c:numRef>
              <c:f>Sheet1!$F$24:$F$35</c:f>
              <c:numCache/>
            </c:numRef>
          </c:yVal>
          <c:smooth val="1"/>
        </c:ser>
        <c:ser>
          <c:idx val="1"/>
          <c:order val="1"/>
          <c:tx>
            <c:v>SG2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Sheet1!$A$24:$A$35</c:f>
              <c:numCache/>
            </c:numRef>
          </c:xVal>
          <c:yVal>
            <c:numRef>
              <c:f>Sheet1!$J$24:$J$35</c:f>
              <c:numCache/>
            </c:numRef>
          </c:yVal>
          <c:smooth val="1"/>
        </c:ser>
        <c:ser>
          <c:idx val="2"/>
          <c:order val="2"/>
          <c:tx>
            <c:v>SG3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Sheet1!$A$24:$A$35</c:f>
              <c:numCache/>
            </c:numRef>
          </c:xVal>
          <c:yVal>
            <c:numRef>
              <c:f>Sheet1!$N$24:$N$35</c:f>
              <c:numCache/>
            </c:numRef>
          </c:yVal>
          <c:smooth val="1"/>
        </c:ser>
        <c:axId val="24586716"/>
        <c:axId val="19953853"/>
      </c:scatterChart>
      <c:valAx>
        <c:axId val="24586716"/>
        <c:scaling>
          <c:logBase val="10"/>
          <c:orientation val="minMax"/>
          <c:max val="100"/>
          <c:min val="0.01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19953853"/>
        <c:crossesAt val="1E-20"/>
        <c:crossBetween val="midCat"/>
        <c:dispUnits/>
      </c:valAx>
      <c:valAx>
        <c:axId val="19953853"/>
        <c:scaling>
          <c:logBase val="10"/>
          <c:orientation val="minMax"/>
          <c:max val="0.1"/>
          <c:min val="1E-07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.E+00" sourceLinked="0"/>
        <c:majorTickMark val="out"/>
        <c:minorTickMark val="out"/>
        <c:tickLblPos val="nextTo"/>
        <c:crossAx val="24586716"/>
        <c:crossesAt val="1E-07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SG1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Sheet1!$A$24:$A$35</c:f>
              <c:numCache/>
            </c:numRef>
          </c:xVal>
          <c:yVal>
            <c:numRef>
              <c:f>Sheet1!$F$24:$F$35</c:f>
              <c:numCache/>
            </c:numRef>
          </c:yVal>
          <c:smooth val="1"/>
        </c:ser>
        <c:ser>
          <c:idx val="1"/>
          <c:order val="1"/>
          <c:tx>
            <c:v>SG2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Sheet1!$A$24:$A$35</c:f>
              <c:numCache/>
            </c:numRef>
          </c:xVal>
          <c:yVal>
            <c:numRef>
              <c:f>Sheet1!$J$24:$J$35</c:f>
              <c:numCache/>
            </c:numRef>
          </c:yVal>
          <c:smooth val="1"/>
        </c:ser>
        <c:ser>
          <c:idx val="2"/>
          <c:order val="2"/>
          <c:tx>
            <c:v>SG3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Sheet1!$A$24:$A$35</c:f>
              <c:numCache/>
            </c:numRef>
          </c:xVal>
          <c:yVal>
            <c:numRef>
              <c:f>Sheet1!$N$24:$N$35</c:f>
              <c:numCache/>
            </c:numRef>
          </c:yVal>
          <c:smooth val="1"/>
        </c:ser>
        <c:axId val="45366950"/>
        <c:axId val="5649367"/>
      </c:scatterChart>
      <c:valAx>
        <c:axId val="45366950"/>
        <c:scaling>
          <c:logBase val="10"/>
          <c:orientation val="minMax"/>
          <c:max val="100"/>
          <c:min val="0.01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one"/>
        <c:crossAx val="5649367"/>
        <c:crossesAt val="1E-20"/>
        <c:crossBetween val="midCat"/>
        <c:dispUnits/>
      </c:valAx>
      <c:valAx>
        <c:axId val="5649367"/>
        <c:scaling>
          <c:logBase val="10"/>
          <c:orientation val="minMax"/>
          <c:max val="0.1"/>
          <c:min val="1E-07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.E+00" sourceLinked="0"/>
        <c:majorTickMark val="out"/>
        <c:minorTickMark val="out"/>
        <c:tickLblPos val="none"/>
        <c:crossAx val="45366950"/>
        <c:crossesAt val="1E-07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stokes flow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Sheet1!$A$33:$A$39</c:f>
              <c:numCache/>
            </c:numRef>
          </c:xVal>
          <c:yVal>
            <c:numRef>
              <c:f>Sheet1!$F$33:$F$39</c:f>
              <c:numCache/>
            </c:numRef>
          </c:yVal>
          <c:smooth val="1"/>
        </c:ser>
        <c:ser>
          <c:idx val="1"/>
          <c:order val="1"/>
          <c:tx>
            <c:v>exact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Sheet1!$A$65:$A$74</c:f>
              <c:numCache/>
            </c:numRef>
          </c:xVal>
          <c:yVal>
            <c:numRef>
              <c:f>Sheet1!$C$65:$C$74</c:f>
              <c:numCache/>
            </c:numRef>
          </c:yVal>
          <c:smooth val="1"/>
        </c:ser>
        <c:axId val="50844304"/>
        <c:axId val="54945553"/>
      </c:scatterChart>
      <c:valAx>
        <c:axId val="50844304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Dp (microns)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54945553"/>
        <c:crossesAt val="1E-20"/>
        <c:crossBetween val="midCat"/>
        <c:dispUnits/>
      </c:valAx>
      <c:valAx>
        <c:axId val="5494555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.E+00" sourceLinked="0"/>
        <c:majorTickMark val="out"/>
        <c:minorTickMark val="out"/>
        <c:tickLblPos val="nextTo"/>
        <c:crossAx val="50844304"/>
        <c:crossesAt val="1E-07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stokes flow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Sheet1!$A$33:$A$39</c:f>
              <c:numCache/>
            </c:numRef>
          </c:xVal>
          <c:yVal>
            <c:numRef>
              <c:f>Sheet1!$F$33:$F$39</c:f>
              <c:numCache/>
            </c:numRef>
          </c:yVal>
          <c:smooth val="1"/>
        </c:ser>
        <c:ser>
          <c:idx val="1"/>
          <c:order val="1"/>
          <c:tx>
            <c:v>exact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Sheet1!$A$65:$A$74</c:f>
              <c:numCache/>
            </c:numRef>
          </c:xVal>
          <c:yVal>
            <c:numRef>
              <c:f>Sheet1!$C$65:$C$74</c:f>
              <c:numCache/>
            </c:numRef>
          </c:yVal>
          <c:smooth val="1"/>
        </c:ser>
        <c:axId val="24747930"/>
        <c:axId val="21404779"/>
      </c:scatterChart>
      <c:valAx>
        <c:axId val="24747930"/>
        <c:scaling>
          <c:logBase val="10"/>
          <c:orientation val="minMax"/>
          <c:max val="10000"/>
          <c:min val="10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one"/>
        <c:crossAx val="21404779"/>
        <c:crossesAt val="1E-20"/>
        <c:crossBetween val="midCat"/>
        <c:dispUnits/>
      </c:valAx>
      <c:valAx>
        <c:axId val="21404779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.E+00" sourceLinked="0"/>
        <c:majorTickMark val="out"/>
        <c:minorTickMark val="out"/>
        <c:tickLblPos val="none"/>
        <c:crossAx val="24747930"/>
        <c:crossesAt val="1E-07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600075</xdr:colOff>
      <xdr:row>40</xdr:row>
      <xdr:rowOff>66675</xdr:rowOff>
    </xdr:from>
    <xdr:ext cx="4829175" cy="3019425"/>
    <xdr:graphicFrame>
      <xdr:nvGraphicFramePr>
        <xdr:cNvPr id="1" name="Chart 1"/>
        <xdr:cNvGraphicFramePr/>
      </xdr:nvGraphicFramePr>
      <xdr:xfrm>
        <a:off x="1209675" y="6858000"/>
        <a:ext cx="48291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12</xdr:col>
      <xdr:colOff>0</xdr:colOff>
      <xdr:row>40</xdr:row>
      <xdr:rowOff>0</xdr:rowOff>
    </xdr:from>
    <xdr:ext cx="4133850" cy="2743200"/>
    <xdr:graphicFrame>
      <xdr:nvGraphicFramePr>
        <xdr:cNvPr id="2" name="Chart 2"/>
        <xdr:cNvGraphicFramePr/>
      </xdr:nvGraphicFramePr>
      <xdr:xfrm>
        <a:off x="8620125" y="6791325"/>
        <a:ext cx="41338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3</xdr:col>
      <xdr:colOff>428625</xdr:colOff>
      <xdr:row>65</xdr:row>
      <xdr:rowOff>9525</xdr:rowOff>
    </xdr:from>
    <xdr:ext cx="4838700" cy="3019425"/>
    <xdr:graphicFrame>
      <xdr:nvGraphicFramePr>
        <xdr:cNvPr id="3" name="Chart 4"/>
        <xdr:cNvGraphicFramePr/>
      </xdr:nvGraphicFramePr>
      <xdr:xfrm>
        <a:off x="2571750" y="10944225"/>
        <a:ext cx="483870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13</xdr:col>
      <xdr:colOff>238125</xdr:colOff>
      <xdr:row>65</xdr:row>
      <xdr:rowOff>152400</xdr:rowOff>
    </xdr:from>
    <xdr:ext cx="4229100" cy="2867025"/>
    <xdr:graphicFrame>
      <xdr:nvGraphicFramePr>
        <xdr:cNvPr id="4" name="Chart 5"/>
        <xdr:cNvGraphicFramePr/>
      </xdr:nvGraphicFramePr>
      <xdr:xfrm>
        <a:off x="9467850" y="11087100"/>
        <a:ext cx="422910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tabSelected="1" workbookViewId="0" topLeftCell="A8">
      <selection activeCell="B34" sqref="B34"/>
    </sheetView>
  </sheetViews>
  <sheetFormatPr defaultColWidth="9.140625" defaultRowHeight="12.75"/>
  <cols>
    <col min="2" max="2" width="12.00390625" style="0" bestFit="1" customWidth="1"/>
    <col min="3" max="3" width="11.00390625" style="0" bestFit="1" customWidth="1"/>
    <col min="5" max="5" width="12.00390625" style="0" bestFit="1" customWidth="1"/>
    <col min="6" max="6" width="10.7109375" style="0" customWidth="1"/>
    <col min="8" max="8" width="13.7109375" style="0" customWidth="1"/>
    <col min="9" max="9" width="10.421875" style="0" bestFit="1" customWidth="1"/>
    <col min="12" max="12" width="13.7109375" style="0" customWidth="1"/>
    <col min="16" max="16" width="13.7109375" style="0" customWidth="1"/>
    <col min="18" max="18" width="10.421875" style="0" customWidth="1"/>
    <col min="19" max="19" width="10.140625" style="0" customWidth="1"/>
  </cols>
  <sheetData>
    <row r="1" spans="1:2" ht="12.75">
      <c r="A1" s="2" t="s">
        <v>6</v>
      </c>
      <c r="B1" s="2"/>
    </row>
    <row r="2" spans="1:2" ht="12.75">
      <c r="A2" s="2" t="s">
        <v>0</v>
      </c>
      <c r="B2" s="2"/>
    </row>
    <row r="3" spans="1:2" ht="12.75">
      <c r="A3" s="2"/>
      <c r="B3" s="2"/>
    </row>
    <row r="4" ht="12.75">
      <c r="A4" s="2" t="s">
        <v>28</v>
      </c>
    </row>
    <row r="5" spans="1:10" ht="15.75">
      <c r="A5" s="2"/>
      <c r="B5" s="14" t="s">
        <v>29</v>
      </c>
      <c r="C5">
        <v>25</v>
      </c>
      <c r="D5" s="15" t="s">
        <v>42</v>
      </c>
      <c r="E5" t="s">
        <v>32</v>
      </c>
      <c r="G5" t="s">
        <v>24</v>
      </c>
      <c r="I5">
        <f>C5+273.15</f>
        <v>298.15</v>
      </c>
      <c r="J5" t="s">
        <v>30</v>
      </c>
    </row>
    <row r="6" spans="1:5" ht="12.75">
      <c r="A6" s="2"/>
      <c r="B6" s="14" t="s">
        <v>34</v>
      </c>
      <c r="C6">
        <v>287</v>
      </c>
      <c r="D6" s="6" t="s">
        <v>35</v>
      </c>
      <c r="E6" t="s">
        <v>36</v>
      </c>
    </row>
    <row r="7" spans="1:5" ht="15.75">
      <c r="A7" s="2"/>
      <c r="B7" s="14" t="s">
        <v>31</v>
      </c>
      <c r="C7">
        <v>273.15</v>
      </c>
      <c r="D7" s="6" t="s">
        <v>30</v>
      </c>
      <c r="E7" t="s">
        <v>33</v>
      </c>
    </row>
    <row r="8" spans="1:5" ht="15.75">
      <c r="A8" s="2"/>
      <c r="B8" s="4" t="s">
        <v>39</v>
      </c>
      <c r="C8" s="8">
        <v>1.71E-05</v>
      </c>
      <c r="D8" s="6" t="s">
        <v>40</v>
      </c>
      <c r="E8" t="s">
        <v>41</v>
      </c>
    </row>
    <row r="9" spans="1:5" ht="15.75">
      <c r="A9" s="2"/>
      <c r="B9" s="14" t="s">
        <v>37</v>
      </c>
      <c r="C9">
        <v>110.4</v>
      </c>
      <c r="D9" s="6" t="s">
        <v>30</v>
      </c>
      <c r="E9" t="s">
        <v>38</v>
      </c>
    </row>
    <row r="10" spans="2:5" ht="12.75">
      <c r="B10" s="7" t="s">
        <v>21</v>
      </c>
      <c r="C10">
        <v>101325</v>
      </c>
      <c r="D10" s="6" t="s">
        <v>22</v>
      </c>
      <c r="E10" t="s">
        <v>23</v>
      </c>
    </row>
    <row r="11" spans="2:5" ht="12.75">
      <c r="B11" s="7" t="s">
        <v>7</v>
      </c>
      <c r="C11">
        <v>9.81</v>
      </c>
      <c r="D11" s="6" t="s">
        <v>8</v>
      </c>
      <c r="E11" t="s">
        <v>11</v>
      </c>
    </row>
    <row r="12" spans="2:5" ht="12.75">
      <c r="B12" s="4" t="s">
        <v>9</v>
      </c>
      <c r="C12" s="8">
        <f>(I5/C7)^1.5*(C7+C9)/(I5+C9)*C8</f>
        <v>1.8307257742504947E-05</v>
      </c>
      <c r="D12" s="6" t="s">
        <v>40</v>
      </c>
      <c r="E12" t="s">
        <v>12</v>
      </c>
    </row>
    <row r="13" spans="2:5" ht="15.75">
      <c r="B13" s="4" t="s">
        <v>13</v>
      </c>
      <c r="C13" s="13">
        <f>C10/C6/I5</f>
        <v>1.1841314120000166</v>
      </c>
      <c r="D13" s="6" t="s">
        <v>14</v>
      </c>
      <c r="E13" t="s">
        <v>15</v>
      </c>
    </row>
    <row r="14" spans="2:5" ht="15.75">
      <c r="B14" s="4" t="s">
        <v>43</v>
      </c>
      <c r="C14" s="12">
        <f>C12/C13</f>
        <v>1.5460494972921714E-05</v>
      </c>
      <c r="D14" s="6" t="s">
        <v>44</v>
      </c>
      <c r="E14" t="s">
        <v>45</v>
      </c>
    </row>
    <row r="15" spans="2:10" ht="12.75">
      <c r="B15" s="4" t="s">
        <v>4</v>
      </c>
      <c r="C15" s="12">
        <f>C12/0.499*SQRT(PI()/8)/SQRT(C13*C10)</f>
        <v>6.637345667159201E-08</v>
      </c>
      <c r="D15" s="6" t="s">
        <v>25</v>
      </c>
      <c r="E15" t="s">
        <v>10</v>
      </c>
      <c r="G15" t="s">
        <v>24</v>
      </c>
      <c r="I15" s="12">
        <f>C15*10^6</f>
        <v>0.06637345667159202</v>
      </c>
      <c r="J15" s="3" t="s">
        <v>5</v>
      </c>
    </row>
    <row r="16" spans="2:10" ht="12.75">
      <c r="B16" s="4"/>
      <c r="C16" s="12"/>
      <c r="D16" s="6"/>
      <c r="I16" s="12"/>
      <c r="J16" s="3"/>
    </row>
    <row r="17" spans="1:18" ht="12.75">
      <c r="A17" s="2" t="s">
        <v>46</v>
      </c>
      <c r="B17" s="4"/>
      <c r="C17" s="16" t="s">
        <v>55</v>
      </c>
      <c r="D17" s="6"/>
      <c r="I17" s="12"/>
      <c r="J17" s="3"/>
      <c r="R17" s="16" t="s">
        <v>54</v>
      </c>
    </row>
    <row r="18" spans="1:18" ht="14.25">
      <c r="A18" s="2"/>
      <c r="B18" s="4"/>
      <c r="C18" s="12"/>
      <c r="D18" s="6"/>
      <c r="E18" s="2" t="s">
        <v>47</v>
      </c>
      <c r="I18" s="12"/>
      <c r="J18" s="3"/>
      <c r="R18" s="2" t="s">
        <v>52</v>
      </c>
    </row>
    <row r="19" spans="5:23" ht="16.5">
      <c r="E19" s="9" t="s">
        <v>16</v>
      </c>
      <c r="F19" s="10">
        <v>1000</v>
      </c>
      <c r="G19" s="11" t="s">
        <v>19</v>
      </c>
      <c r="H19" s="11"/>
      <c r="I19" s="9" t="s">
        <v>16</v>
      </c>
      <c r="J19" s="10">
        <v>2000</v>
      </c>
      <c r="K19" s="11" t="s">
        <v>19</v>
      </c>
      <c r="L19" s="11"/>
      <c r="M19" s="9" t="s">
        <v>16</v>
      </c>
      <c r="N19" s="10">
        <v>4000</v>
      </c>
      <c r="O19" s="11" t="s">
        <v>19</v>
      </c>
      <c r="P19" s="11"/>
      <c r="U19" s="9" t="s">
        <v>16</v>
      </c>
      <c r="V19" s="10">
        <v>1000</v>
      </c>
      <c r="W19" s="11" t="s">
        <v>19</v>
      </c>
    </row>
    <row r="20" spans="1:23" s="1" customFormat="1" ht="14.25">
      <c r="A20" s="1" t="s">
        <v>3</v>
      </c>
      <c r="B20" s="1" t="s">
        <v>20</v>
      </c>
      <c r="C20" s="1" t="s">
        <v>1</v>
      </c>
      <c r="D20" s="1" t="s">
        <v>2</v>
      </c>
      <c r="E20" s="9" t="s">
        <v>17</v>
      </c>
      <c r="F20" s="1" t="s">
        <v>18</v>
      </c>
      <c r="G20" s="1" t="s">
        <v>26</v>
      </c>
      <c r="H20" s="1" t="s">
        <v>60</v>
      </c>
      <c r="I20" s="9" t="s">
        <v>17</v>
      </c>
      <c r="J20" s="1" t="s">
        <v>18</v>
      </c>
      <c r="K20" s="1" t="s">
        <v>26</v>
      </c>
      <c r="L20" s="1" t="s">
        <v>60</v>
      </c>
      <c r="M20" s="9" t="s">
        <v>17</v>
      </c>
      <c r="N20" s="1" t="s">
        <v>18</v>
      </c>
      <c r="O20" s="1" t="s">
        <v>26</v>
      </c>
      <c r="P20" s="1" t="s">
        <v>60</v>
      </c>
      <c r="R20" s="2" t="s">
        <v>50</v>
      </c>
      <c r="S20" s="1" t="s">
        <v>49</v>
      </c>
      <c r="T20" s="1" t="s">
        <v>51</v>
      </c>
      <c r="U20" s="1" t="s">
        <v>26</v>
      </c>
      <c r="V20" s="1" t="s">
        <v>48</v>
      </c>
      <c r="W20" s="1" t="s">
        <v>18</v>
      </c>
    </row>
    <row r="21" spans="1:23" ht="12.75">
      <c r="A21">
        <v>0.001</v>
      </c>
      <c r="B21">
        <f>A21*10^-6</f>
        <v>1E-09</v>
      </c>
      <c r="C21" s="13">
        <f>$C$15/B21</f>
        <v>66.37345667159201</v>
      </c>
      <c r="D21" s="5">
        <f>1+C21*(2.514+0.8*EXP(-0.55/C21))</f>
        <v>220.52345340253032</v>
      </c>
      <c r="E21" s="8">
        <f>(F$19*$B21^2)/(18*$C$12)</f>
        <v>3.0346191842030622E-12</v>
      </c>
      <c r="F21" s="8">
        <f>$D21*$C$11*E21*(F$19-$C$13)/F$19</f>
        <v>6.557124427099146E-09</v>
      </c>
      <c r="G21" s="8">
        <f>$B21*F21*$C$13/$C$12</f>
        <v>4.2412124829015005E-13</v>
      </c>
      <c r="H21" s="8">
        <f>$C$13*F$19*$B21*$B21*$B21*$C$11*$D21/18/$C$12/$C$12</f>
        <v>4.2462405897667536E-13</v>
      </c>
      <c r="I21" s="8">
        <f>(J$19*$B21^2)/(18*$C$12)</f>
        <v>6.0692383684061245E-12</v>
      </c>
      <c r="J21" s="8">
        <f>$D21*$C$11*I21*(J$19-$C$13)/J$19</f>
        <v>1.3122022556289648E-08</v>
      </c>
      <c r="K21" s="8">
        <f>$B21*J21*$C$13/$C$12</f>
        <v>8.487453072668252E-13</v>
      </c>
      <c r="L21" s="8">
        <f>$C$13*J$19*$B21*$B21*$B21*$C$11*$D21/18/$C$12/$C$12</f>
        <v>8.492481179533507E-13</v>
      </c>
      <c r="M21" s="8">
        <f>(N$19*$B21^2)/(18*$C$12)</f>
        <v>1.2138476736812249E-11</v>
      </c>
      <c r="N21" s="8">
        <f>$D21*$C$11*M21*(N$19-$C$13)/N$19</f>
        <v>2.6251818814670648E-08</v>
      </c>
      <c r="O21" s="8">
        <f>$B21*N21*$C$13/$C$12</f>
        <v>1.6979934252201757E-12</v>
      </c>
      <c r="P21" s="8">
        <f>$C$13*N$19*$B21*$B21*$B21*$C$11*$D21/18/$C$12/$C$12</f>
        <v>1.6984962359067014E-12</v>
      </c>
      <c r="R21" s="8"/>
      <c r="T21" s="8"/>
      <c r="U21" s="8"/>
      <c r="V21" s="8"/>
      <c r="W21" s="8"/>
    </row>
    <row r="22" spans="1:23" ht="12.75">
      <c r="A22">
        <v>0.002</v>
      </c>
      <c r="B22">
        <f aca="true" t="shared" si="0" ref="B22:B39">A22*10^-6</f>
        <v>2E-09</v>
      </c>
      <c r="C22" s="13">
        <f aca="true" t="shared" si="1" ref="C22:C39">$C$15/B22</f>
        <v>33.186728335796005</v>
      </c>
      <c r="D22" s="5">
        <f aca="true" t="shared" si="2" ref="D22:D39">1+C22*(2.514+0.8*EXP(-0.55/C22))</f>
        <v>110.5444436820326</v>
      </c>
      <c r="E22" s="8">
        <f aca="true" t="shared" si="3" ref="E22:E39">(F$19*$B22^2)/(18*$C$12)</f>
        <v>1.2138476736812249E-11</v>
      </c>
      <c r="F22" s="8">
        <f aca="true" t="shared" si="4" ref="F22:F39">$D22*$C$11*E22*(F$19-$C$13)/F$19</f>
        <v>1.3147874491597724E-08</v>
      </c>
      <c r="G22" s="8">
        <f aca="true" t="shared" si="5" ref="G22:G39">$B22*F22*$C$13/$C$12</f>
        <v>1.7008348716681542E-12</v>
      </c>
      <c r="H22" s="8">
        <f aca="true" t="shared" si="6" ref="H22:H39">$C$13*F$19*$B22*$B22*$B22*$C$11*$D22/18/$C$12/$C$12</f>
        <v>1.7028512713485223E-12</v>
      </c>
      <c r="I22" s="8">
        <f aca="true" t="shared" si="7" ref="I22:I39">(J$19*$B22^2)/(18*$C$12)</f>
        <v>2.4276953473624498E-11</v>
      </c>
      <c r="J22" s="8">
        <f aca="true" t="shared" si="8" ref="J22:J39">$D22*$C$11*I22*(J$19-$C$13)/J$19</f>
        <v>2.6311336251756315E-08</v>
      </c>
      <c r="K22" s="8">
        <f aca="true" t="shared" si="9" ref="K22:K39">$B22*J22*$C$13/$C$12</f>
        <v>3.4036861430166777E-12</v>
      </c>
      <c r="L22" s="8">
        <f aca="true" t="shared" si="10" ref="L22:L39">$C$13*J$19*$B22*$B22*$B22*$C$11*$D22/18/$C$12/$C$12</f>
        <v>3.4057025426970447E-12</v>
      </c>
      <c r="M22" s="8">
        <f aca="true" t="shared" si="11" ref="M22:M39">(N$19*$B22^2)/(18*$C$12)</f>
        <v>4.8553906947248996E-11</v>
      </c>
      <c r="N22" s="8">
        <f aca="true" t="shared" si="12" ref="N22:N39">$D22*$C$11*M22*(N$19-$C$13)/N$19</f>
        <v>5.263825977207349E-08</v>
      </c>
      <c r="O22" s="8">
        <f aca="true" t="shared" si="13" ref="O22:O39">$B22*N22*$C$13/$C$12</f>
        <v>6.809388685713721E-12</v>
      </c>
      <c r="P22" s="8">
        <f aca="true" t="shared" si="14" ref="P22:P39">$C$13*N$19*$B22*$B22*$B22*$C$11*$D22/18/$C$12/$C$12</f>
        <v>6.811405085394089E-12</v>
      </c>
      <c r="R22" s="8"/>
      <c r="T22" s="8"/>
      <c r="U22" s="8"/>
      <c r="V22" s="8"/>
      <c r="W22" s="8"/>
    </row>
    <row r="23" spans="1:23" ht="12.75">
      <c r="A23">
        <v>0.005</v>
      </c>
      <c r="B23">
        <f t="shared" si="0"/>
        <v>5E-09</v>
      </c>
      <c r="C23" s="13">
        <f t="shared" si="1"/>
        <v>13.274691334318401</v>
      </c>
      <c r="D23" s="5">
        <f t="shared" si="2"/>
        <v>44.56131757851931</v>
      </c>
      <c r="E23" s="8">
        <f t="shared" si="3"/>
        <v>7.586547960507657E-11</v>
      </c>
      <c r="F23" s="8">
        <f t="shared" si="4"/>
        <v>3.312505988472776E-08</v>
      </c>
      <c r="G23" s="8">
        <f t="shared" si="5"/>
        <v>1.0712807042318067E-11</v>
      </c>
      <c r="H23" s="8">
        <f t="shared" si="6"/>
        <v>1.0725507452602332E-11</v>
      </c>
      <c r="I23" s="8">
        <f t="shared" si="7"/>
        <v>1.5173095921015314E-10</v>
      </c>
      <c r="J23" s="8">
        <f t="shared" si="8"/>
        <v>6.628939069532632E-08</v>
      </c>
      <c r="K23" s="8">
        <f t="shared" si="9"/>
        <v>2.1438314494920405E-11</v>
      </c>
      <c r="L23" s="8">
        <f t="shared" si="10"/>
        <v>2.1451014905204664E-11</v>
      </c>
      <c r="M23" s="8">
        <f t="shared" si="11"/>
        <v>3.034619184203063E-10</v>
      </c>
      <c r="N23" s="8">
        <f t="shared" si="12"/>
        <v>1.3261805231652343E-07</v>
      </c>
      <c r="O23" s="8">
        <f t="shared" si="13"/>
        <v>4.288932940012508E-11</v>
      </c>
      <c r="P23" s="8">
        <f t="shared" si="14"/>
        <v>4.290202981040933E-11</v>
      </c>
      <c r="R23" s="8"/>
      <c r="T23" s="8"/>
      <c r="U23" s="8"/>
      <c r="V23" s="8"/>
      <c r="W23" s="8"/>
    </row>
    <row r="24" spans="1:23" ht="12.75">
      <c r="A24">
        <v>0.01</v>
      </c>
      <c r="B24">
        <f t="shared" si="0"/>
        <v>1E-08</v>
      </c>
      <c r="C24" s="13">
        <f t="shared" si="1"/>
        <v>6.637345667159201</v>
      </c>
      <c r="D24" s="5">
        <f t="shared" si="2"/>
        <v>22.573900436403648</v>
      </c>
      <c r="E24" s="8">
        <f t="shared" si="3"/>
        <v>3.034619184203063E-10</v>
      </c>
      <c r="F24" s="8">
        <f t="shared" si="4"/>
        <v>6.712205512955569E-08</v>
      </c>
      <c r="G24" s="8">
        <f t="shared" si="5"/>
        <v>4.341520452425141E-11</v>
      </c>
      <c r="H24" s="8">
        <f t="shared" si="6"/>
        <v>4.3466674779232674E-11</v>
      </c>
      <c r="I24" s="8">
        <f t="shared" si="7"/>
        <v>6.069238368406126E-10</v>
      </c>
      <c r="J24" s="8">
        <f t="shared" si="8"/>
        <v>1.3432368582095069E-07</v>
      </c>
      <c r="K24" s="8">
        <f t="shared" si="9"/>
        <v>8.68818793034841E-11</v>
      </c>
      <c r="L24" s="8">
        <f t="shared" si="10"/>
        <v>8.693334955846535E-11</v>
      </c>
      <c r="M24" s="8">
        <f t="shared" si="11"/>
        <v>1.2138476736812251E-09</v>
      </c>
      <c r="N24" s="8">
        <f t="shared" si="12"/>
        <v>2.687269472037407E-07</v>
      </c>
      <c r="O24" s="8">
        <f t="shared" si="13"/>
        <v>1.7381522886194946E-10</v>
      </c>
      <c r="P24" s="8">
        <f t="shared" si="14"/>
        <v>1.738666991169307E-10</v>
      </c>
      <c r="R24" s="8"/>
      <c r="T24" s="8"/>
      <c r="U24" s="8"/>
      <c r="V24" s="8"/>
      <c r="W24" s="8"/>
    </row>
    <row r="25" spans="1:23" ht="12.75">
      <c r="A25">
        <v>0.02</v>
      </c>
      <c r="B25">
        <f t="shared" si="0"/>
        <v>2E-08</v>
      </c>
      <c r="C25" s="13">
        <f t="shared" si="1"/>
        <v>3.3186728335796003</v>
      </c>
      <c r="D25" s="5">
        <f t="shared" si="2"/>
        <v>11.592608710693241</v>
      </c>
      <c r="E25" s="8">
        <f t="shared" si="3"/>
        <v>1.2138476736812251E-09</v>
      </c>
      <c r="F25" s="8">
        <f t="shared" si="4"/>
        <v>1.3787953449456874E-07</v>
      </c>
      <c r="G25" s="8">
        <f t="shared" si="5"/>
        <v>1.7836367430157685E-10</v>
      </c>
      <c r="H25" s="8">
        <f t="shared" si="6"/>
        <v>1.7857513072326826E-10</v>
      </c>
      <c r="I25" s="8">
        <f t="shared" si="7"/>
        <v>2.4276953473624502E-09</v>
      </c>
      <c r="J25" s="8">
        <f t="shared" si="8"/>
        <v>2.759225300363651E-07</v>
      </c>
      <c r="K25" s="8">
        <f t="shared" si="9"/>
        <v>3.5693880502484516E-10</v>
      </c>
      <c r="L25" s="8">
        <f t="shared" si="10"/>
        <v>3.571502614465365E-10</v>
      </c>
      <c r="M25" s="8">
        <f t="shared" si="11"/>
        <v>4.8553906947249004E-09</v>
      </c>
      <c r="N25" s="8">
        <f t="shared" si="12"/>
        <v>5.520085211199578E-07</v>
      </c>
      <c r="O25" s="8">
        <f t="shared" si="13"/>
        <v>7.140890664713818E-10</v>
      </c>
      <c r="P25" s="8">
        <f t="shared" si="14"/>
        <v>7.14300522893073E-10</v>
      </c>
      <c r="R25" s="8"/>
      <c r="T25" s="8"/>
      <c r="U25" s="8"/>
      <c r="V25" s="8"/>
      <c r="W25" s="8"/>
    </row>
    <row r="26" spans="1:23" ht="12.75">
      <c r="A26">
        <v>0.05</v>
      </c>
      <c r="B26">
        <f t="shared" si="0"/>
        <v>5E-08</v>
      </c>
      <c r="C26" s="13">
        <f t="shared" si="1"/>
        <v>1.3274691334318403</v>
      </c>
      <c r="D26" s="5">
        <f t="shared" si="2"/>
        <v>5.038997916138177</v>
      </c>
      <c r="E26" s="8">
        <f t="shared" si="3"/>
        <v>7.586547960507653E-09</v>
      </c>
      <c r="F26" s="8">
        <f t="shared" si="4"/>
        <v>3.74578483764487E-07</v>
      </c>
      <c r="G26" s="8">
        <f t="shared" si="5"/>
        <v>1.2114052118659284E-09</v>
      </c>
      <c r="H26" s="8">
        <f t="shared" si="6"/>
        <v>1.2128413754363561E-09</v>
      </c>
      <c r="I26" s="8">
        <f t="shared" si="7"/>
        <v>1.5173095921015306E-08</v>
      </c>
      <c r="J26" s="8">
        <f t="shared" si="8"/>
        <v>7.496010435221917E-07</v>
      </c>
      <c r="K26" s="8">
        <f t="shared" si="9"/>
        <v>2.424246587302284E-09</v>
      </c>
      <c r="L26" s="8">
        <f t="shared" si="10"/>
        <v>2.4256827508727122E-09</v>
      </c>
      <c r="M26" s="8">
        <f t="shared" si="11"/>
        <v>3.034619184203061E-08</v>
      </c>
      <c r="N26" s="8">
        <f t="shared" si="12"/>
        <v>1.4996461630376011E-06</v>
      </c>
      <c r="O26" s="8">
        <f t="shared" si="13"/>
        <v>4.849929338174995E-09</v>
      </c>
      <c r="P26" s="8">
        <f t="shared" si="14"/>
        <v>4.8513655017454245E-09</v>
      </c>
      <c r="R26" s="8"/>
      <c r="T26" s="8"/>
      <c r="U26" s="8"/>
      <c r="V26" s="8"/>
      <c r="W26" s="8"/>
    </row>
    <row r="27" spans="1:23" ht="12.75">
      <c r="A27">
        <v>0.1</v>
      </c>
      <c r="B27">
        <f t="shared" si="0"/>
        <v>1E-07</v>
      </c>
      <c r="C27" s="13">
        <f t="shared" si="1"/>
        <v>0.6637345667159201</v>
      </c>
      <c r="D27" s="5">
        <f t="shared" si="2"/>
        <v>2.9004795483048564</v>
      </c>
      <c r="E27" s="8">
        <f t="shared" si="3"/>
        <v>3.034619184203061E-08</v>
      </c>
      <c r="F27" s="8">
        <f t="shared" si="4"/>
        <v>8.624391194244304E-07</v>
      </c>
      <c r="G27" s="8">
        <f t="shared" si="5"/>
        <v>5.5783409323889665E-09</v>
      </c>
      <c r="H27" s="8">
        <f t="shared" si="6"/>
        <v>5.584954252153525E-09</v>
      </c>
      <c r="I27" s="8">
        <f t="shared" si="7"/>
        <v>6.069238368406123E-08</v>
      </c>
      <c r="J27" s="8">
        <f t="shared" si="8"/>
        <v>1.7259006908186036E-06</v>
      </c>
      <c r="K27" s="8">
        <f t="shared" si="9"/>
        <v>1.1163295184542491E-08</v>
      </c>
      <c r="L27" s="8">
        <f t="shared" si="10"/>
        <v>1.116990850430705E-08</v>
      </c>
      <c r="M27" s="8">
        <f t="shared" si="11"/>
        <v>1.2138476736812245E-07</v>
      </c>
      <c r="N27" s="8">
        <f t="shared" si="12"/>
        <v>3.4528238336069497E-06</v>
      </c>
      <c r="O27" s="8">
        <f t="shared" si="13"/>
        <v>2.233320368884954E-08</v>
      </c>
      <c r="P27" s="8">
        <f t="shared" si="14"/>
        <v>2.23398170086141E-08</v>
      </c>
      <c r="R27" s="8"/>
      <c r="T27" s="8"/>
      <c r="U27" s="8"/>
      <c r="V27" s="8"/>
      <c r="W27" s="8"/>
    </row>
    <row r="28" spans="1:23" ht="12.75">
      <c r="A28">
        <v>0.2</v>
      </c>
      <c r="B28">
        <f t="shared" si="0"/>
        <v>2E-07</v>
      </c>
      <c r="C28" s="13">
        <f t="shared" si="1"/>
        <v>0.33186728335796006</v>
      </c>
      <c r="D28" s="5">
        <f t="shared" si="2"/>
        <v>1.8849321144310032</v>
      </c>
      <c r="E28" s="8">
        <f t="shared" si="3"/>
        <v>1.2138476736812245E-07</v>
      </c>
      <c r="F28" s="8">
        <f t="shared" si="4"/>
        <v>2.2418902334888525E-06</v>
      </c>
      <c r="G28" s="8">
        <f t="shared" si="5"/>
        <v>2.9001532453073612E-08</v>
      </c>
      <c r="H28" s="8">
        <f t="shared" si="6"/>
        <v>2.9035914791854804E-08</v>
      </c>
      <c r="I28" s="8">
        <f t="shared" si="7"/>
        <v>2.427695347362449E-07</v>
      </c>
      <c r="J28" s="8">
        <f t="shared" si="8"/>
        <v>4.486438306857125E-06</v>
      </c>
      <c r="K28" s="8">
        <f t="shared" si="9"/>
        <v>5.8037447244928417E-08</v>
      </c>
      <c r="L28" s="8">
        <f t="shared" si="10"/>
        <v>5.807182958370961E-08</v>
      </c>
      <c r="M28" s="8">
        <f t="shared" si="11"/>
        <v>4.855390694724898E-07</v>
      </c>
      <c r="N28" s="8">
        <f t="shared" si="12"/>
        <v>8.97553445359367E-06</v>
      </c>
      <c r="O28" s="8">
        <f t="shared" si="13"/>
        <v>1.1610927682863803E-07</v>
      </c>
      <c r="P28" s="8">
        <f t="shared" si="14"/>
        <v>1.1614365916741922E-07</v>
      </c>
      <c r="R28" s="8"/>
      <c r="T28" s="8"/>
      <c r="U28" s="8"/>
      <c r="V28" s="8"/>
      <c r="W28" s="8"/>
    </row>
    <row r="29" spans="1:23" ht="12.75">
      <c r="A29">
        <v>0.5</v>
      </c>
      <c r="B29">
        <f t="shared" si="0"/>
        <v>5E-07</v>
      </c>
      <c r="C29" s="13">
        <f t="shared" si="1"/>
        <v>0.13274691334318403</v>
      </c>
      <c r="D29" s="5">
        <f t="shared" si="2"/>
        <v>1.3354112672602962</v>
      </c>
      <c r="E29" s="8">
        <f t="shared" si="3"/>
        <v>7.586547960507656E-07</v>
      </c>
      <c r="F29" s="8">
        <f t="shared" si="4"/>
        <v>9.926900864363392E-06</v>
      </c>
      <c r="G29" s="8">
        <f t="shared" si="5"/>
        <v>3.210408490074174E-07</v>
      </c>
      <c r="H29" s="8">
        <f t="shared" si="6"/>
        <v>3.21421454247883E-07</v>
      </c>
      <c r="I29" s="8">
        <f t="shared" si="7"/>
        <v>1.5173095921015312E-06</v>
      </c>
      <c r="J29" s="8">
        <f t="shared" si="8"/>
        <v>1.986557041954056E-05</v>
      </c>
      <c r="K29" s="8">
        <f t="shared" si="9"/>
        <v>6.424623032553005E-07</v>
      </c>
      <c r="L29" s="8">
        <f t="shared" si="10"/>
        <v>6.42842908495766E-07</v>
      </c>
      <c r="M29" s="8">
        <f t="shared" si="11"/>
        <v>3.0346191842030624E-06</v>
      </c>
      <c r="N29" s="8">
        <f t="shared" si="12"/>
        <v>3.9742909529894894E-05</v>
      </c>
      <c r="O29" s="8">
        <f t="shared" si="13"/>
        <v>1.2853052117510668E-06</v>
      </c>
      <c r="P29" s="8">
        <f t="shared" si="14"/>
        <v>1.285685816991532E-06</v>
      </c>
      <c r="R29" s="8"/>
      <c r="T29" s="8"/>
      <c r="U29" s="8"/>
      <c r="V29" s="8"/>
      <c r="W29" s="8"/>
    </row>
    <row r="30" spans="1:23" ht="12.75">
      <c r="A30">
        <v>1</v>
      </c>
      <c r="B30">
        <f t="shared" si="0"/>
        <v>1E-06</v>
      </c>
      <c r="C30" s="13">
        <f t="shared" si="1"/>
        <v>0.06637345667159202</v>
      </c>
      <c r="D30" s="5">
        <f t="shared" si="2"/>
        <v>1.1668762460974138</v>
      </c>
      <c r="E30" s="8">
        <f t="shared" si="3"/>
        <v>3.0346191842030624E-06</v>
      </c>
      <c r="F30" s="8">
        <f t="shared" si="4"/>
        <v>3.4696321949578685E-05</v>
      </c>
      <c r="G30" s="8">
        <f t="shared" si="5"/>
        <v>2.244192182096858E-06</v>
      </c>
      <c r="H30" s="8">
        <f t="shared" si="6"/>
        <v>2.2468527510174763E-06</v>
      </c>
      <c r="I30" s="8">
        <f t="shared" si="7"/>
        <v>6.069238368406125E-06</v>
      </c>
      <c r="J30" s="8">
        <f t="shared" si="8"/>
        <v>6.943377761157973E-05</v>
      </c>
      <c r="K30" s="8">
        <f t="shared" si="9"/>
        <v>4.491044933114336E-06</v>
      </c>
      <c r="L30" s="8">
        <f t="shared" si="10"/>
        <v>4.4937055020349525E-06</v>
      </c>
      <c r="M30" s="8">
        <f t="shared" si="11"/>
        <v>1.213847673681225E-05</v>
      </c>
      <c r="N30" s="8">
        <f t="shared" si="12"/>
        <v>0.0001389086889355818</v>
      </c>
      <c r="O30" s="8">
        <f t="shared" si="13"/>
        <v>8.98475043514929E-06</v>
      </c>
      <c r="P30" s="8">
        <f t="shared" si="14"/>
        <v>8.987411004069905E-06</v>
      </c>
      <c r="R30" s="8"/>
      <c r="T30" s="8"/>
      <c r="U30" s="8"/>
      <c r="V30" s="8"/>
      <c r="W30" s="8"/>
    </row>
    <row r="31" spans="1:23" ht="12.75">
      <c r="A31">
        <v>2</v>
      </c>
      <c r="B31">
        <f t="shared" si="0"/>
        <v>2E-06</v>
      </c>
      <c r="C31" s="13">
        <f t="shared" si="1"/>
        <v>0.03318672833579601</v>
      </c>
      <c r="D31" s="5">
        <f t="shared" si="2"/>
        <v>1.0834314367209577</v>
      </c>
      <c r="E31" s="8">
        <f t="shared" si="3"/>
        <v>1.213847673681225E-05</v>
      </c>
      <c r="F31" s="8">
        <f t="shared" si="4"/>
        <v>0.00012886057476784642</v>
      </c>
      <c r="G31" s="8">
        <f t="shared" si="5"/>
        <v>1.66696570832356E-05</v>
      </c>
      <c r="H31" s="8">
        <f t="shared" si="6"/>
        <v>1.6689419549171818E-05</v>
      </c>
      <c r="I31" s="8">
        <f t="shared" si="7"/>
        <v>2.42769534736245E-05</v>
      </c>
      <c r="J31" s="8">
        <f t="shared" si="8"/>
        <v>0.00025787391828832265</v>
      </c>
      <c r="K31" s="8">
        <f t="shared" si="9"/>
        <v>3.3359076632407434E-05</v>
      </c>
      <c r="L31" s="8">
        <f t="shared" si="10"/>
        <v>3.3378839098343635E-05</v>
      </c>
      <c r="M31" s="8">
        <f t="shared" si="11"/>
        <v>4.8553906947249E-05</v>
      </c>
      <c r="N31" s="8">
        <f t="shared" si="12"/>
        <v>0.000515900605329275</v>
      </c>
      <c r="O31" s="8">
        <f t="shared" si="13"/>
        <v>6.673791573075108E-05</v>
      </c>
      <c r="P31" s="8">
        <f t="shared" si="14"/>
        <v>6.675767819668727E-05</v>
      </c>
      <c r="R31" s="8"/>
      <c r="T31" s="8"/>
      <c r="U31" s="8"/>
      <c r="V31" s="8"/>
      <c r="W31" s="8"/>
    </row>
    <row r="32" spans="1:23" ht="12.75">
      <c r="A32">
        <v>5</v>
      </c>
      <c r="B32">
        <f t="shared" si="0"/>
        <v>4.9999999999999996E-06</v>
      </c>
      <c r="C32" s="13">
        <f t="shared" si="1"/>
        <v>0.013274691334318403</v>
      </c>
      <c r="D32" s="5">
        <f t="shared" si="2"/>
        <v>1.0333725740144764</v>
      </c>
      <c r="E32" s="8">
        <f t="shared" si="3"/>
        <v>7.586547960507654E-05</v>
      </c>
      <c r="F32" s="8">
        <f t="shared" si="4"/>
        <v>0.0007681668823447345</v>
      </c>
      <c r="G32" s="8">
        <f t="shared" si="5"/>
        <v>0.0002484289421813922</v>
      </c>
      <c r="H32" s="8">
        <f t="shared" si="6"/>
        <v>0.0002487234634473616</v>
      </c>
      <c r="I32" s="8">
        <f t="shared" si="7"/>
        <v>0.00015173095921015308</v>
      </c>
      <c r="J32" s="8">
        <f t="shared" si="8"/>
        <v>0.0015372444535998568</v>
      </c>
      <c r="K32" s="8">
        <f t="shared" si="9"/>
        <v>0.0004971524056287537</v>
      </c>
      <c r="L32" s="8">
        <f t="shared" si="10"/>
        <v>0.0004974469268947232</v>
      </c>
      <c r="M32" s="8">
        <f t="shared" si="11"/>
        <v>0.00030346191842030616</v>
      </c>
      <c r="N32" s="8">
        <f t="shared" si="12"/>
        <v>0.0030753995961101013</v>
      </c>
      <c r="O32" s="8">
        <f t="shared" si="13"/>
        <v>0.000994599332523477</v>
      </c>
      <c r="P32" s="8">
        <f t="shared" si="14"/>
        <v>0.0009948938537894464</v>
      </c>
      <c r="R32" s="8"/>
      <c r="T32" s="8"/>
      <c r="U32" s="8"/>
      <c r="V32" s="8"/>
      <c r="W32" s="8"/>
    </row>
    <row r="33" spans="1:24" ht="12.75">
      <c r="A33">
        <v>10</v>
      </c>
      <c r="B33">
        <f t="shared" si="0"/>
        <v>9.999999999999999E-06</v>
      </c>
      <c r="C33" s="13">
        <f t="shared" si="1"/>
        <v>0.006637345667159201</v>
      </c>
      <c r="D33" s="5">
        <f t="shared" si="2"/>
        <v>1.0166862870072382</v>
      </c>
      <c r="E33" s="8">
        <f t="shared" si="3"/>
        <v>0.00030346191842030616</v>
      </c>
      <c r="F33" s="8">
        <f t="shared" si="4"/>
        <v>0.0030230519177763793</v>
      </c>
      <c r="G33" s="8">
        <f t="shared" si="5"/>
        <v>0.001955339672546774</v>
      </c>
      <c r="H33" s="8">
        <f t="shared" si="6"/>
        <v>0.0019576577966377196</v>
      </c>
      <c r="I33" s="8">
        <f t="shared" si="7"/>
        <v>0.0006069238368406123</v>
      </c>
      <c r="J33" s="8">
        <f t="shared" si="8"/>
        <v>0.006049687770138226</v>
      </c>
      <c r="K33" s="8">
        <f t="shared" si="9"/>
        <v>0.003912997469184495</v>
      </c>
      <c r="L33" s="8">
        <f t="shared" si="10"/>
        <v>0.003915315593275439</v>
      </c>
      <c r="M33" s="8">
        <f t="shared" si="11"/>
        <v>0.0012138476736812246</v>
      </c>
      <c r="N33" s="8">
        <f t="shared" si="12"/>
        <v>0.012102959474861919</v>
      </c>
      <c r="O33" s="8">
        <f t="shared" si="13"/>
        <v>0.007828313062459933</v>
      </c>
      <c r="P33" s="8">
        <f t="shared" si="14"/>
        <v>0.007830631186550878</v>
      </c>
      <c r="R33" s="8">
        <f aca="true" t="shared" si="15" ref="R33:R39">W33*$B33*$C$13/$C$12-U33</f>
        <v>0</v>
      </c>
      <c r="S33">
        <f aca="true" t="shared" si="16" ref="S33:S39">0.4+24/U33+6/(1+SQRT(U33))-V33</f>
        <v>0</v>
      </c>
      <c r="T33" s="8">
        <f aca="true" t="shared" si="17" ref="T33:T39">SQRT(4*V$19*$B33*$C$11*$D33/3/$C$13/V33)-W33</f>
        <v>0</v>
      </c>
      <c r="U33" s="8">
        <v>0.0019566773855276584</v>
      </c>
      <c r="V33" s="8">
        <v>12271.836735699095</v>
      </c>
      <c r="W33" s="8">
        <v>0.0030251200882579965</v>
      </c>
      <c r="X33" t="s">
        <v>53</v>
      </c>
    </row>
    <row r="34" spans="1:23" ht="12.75">
      <c r="A34">
        <v>20</v>
      </c>
      <c r="B34">
        <f t="shared" si="0"/>
        <v>1.9999999999999998E-05</v>
      </c>
      <c r="C34" s="13">
        <f t="shared" si="1"/>
        <v>0.0033186728335796007</v>
      </c>
      <c r="D34" s="5">
        <f t="shared" si="2"/>
        <v>1.0083431435036192</v>
      </c>
      <c r="E34" s="8">
        <f t="shared" si="3"/>
        <v>0.0012138476736812246</v>
      </c>
      <c r="F34" s="8">
        <f t="shared" si="4"/>
        <v>0.0119929764479004</v>
      </c>
      <c r="G34" s="8">
        <f t="shared" si="5"/>
        <v>0.015514349920756742</v>
      </c>
      <c r="H34" s="8">
        <f t="shared" si="6"/>
        <v>0.015532742729337067</v>
      </c>
      <c r="I34" s="8">
        <f t="shared" si="7"/>
        <v>0.0024276953473624492</v>
      </c>
      <c r="J34" s="8">
        <f t="shared" si="8"/>
        <v>0.024000170992030504</v>
      </c>
      <c r="K34" s="8">
        <f t="shared" si="9"/>
        <v>0.031047092650093814</v>
      </c>
      <c r="L34" s="8">
        <f t="shared" si="10"/>
        <v>0.031065485458674134</v>
      </c>
      <c r="M34" s="8">
        <f t="shared" si="11"/>
        <v>0.0048553906947248985</v>
      </c>
      <c r="N34" s="8">
        <f t="shared" si="12"/>
        <v>0.0480145600802907</v>
      </c>
      <c r="O34" s="8">
        <f t="shared" si="13"/>
        <v>0.06211257810876794</v>
      </c>
      <c r="P34" s="8">
        <f t="shared" si="14"/>
        <v>0.06213097091734827</v>
      </c>
      <c r="R34" s="8">
        <f t="shared" si="15"/>
        <v>0.0019566773855276584</v>
      </c>
      <c r="S34">
        <f t="shared" si="16"/>
        <v>0</v>
      </c>
      <c r="T34" s="8">
        <f t="shared" si="17"/>
        <v>0.0012354558387346623</v>
      </c>
      <c r="U34" s="8">
        <v>0.0019566773855276584</v>
      </c>
      <c r="V34" s="8">
        <v>12271.836735699095</v>
      </c>
      <c r="W34" s="8">
        <v>0.0030251200882579965</v>
      </c>
    </row>
    <row r="35" spans="1:23" ht="12.75">
      <c r="A35">
        <v>50</v>
      </c>
      <c r="B35">
        <f t="shared" si="0"/>
        <v>4.9999999999999996E-05</v>
      </c>
      <c r="C35" s="13">
        <f t="shared" si="1"/>
        <v>0.0013274691334318404</v>
      </c>
      <c r="D35" s="5">
        <f t="shared" si="2"/>
        <v>1.0033372574014476</v>
      </c>
      <c r="E35" s="8">
        <f t="shared" si="3"/>
        <v>0.007586547960507654</v>
      </c>
      <c r="F35" s="8">
        <f t="shared" si="4"/>
        <v>0.07458398571235832</v>
      </c>
      <c r="G35" s="8">
        <f t="shared" si="5"/>
        <v>0.24120827257791047</v>
      </c>
      <c r="H35" s="8">
        <f t="shared" si="6"/>
        <v>0.2414942334855976</v>
      </c>
      <c r="I35" s="8">
        <f t="shared" si="7"/>
        <v>0.015173095921015308</v>
      </c>
      <c r="J35" s="8">
        <f t="shared" si="8"/>
        <v>0.14925639336823165</v>
      </c>
      <c r="K35" s="8">
        <f t="shared" si="9"/>
        <v>0.4827025060635083</v>
      </c>
      <c r="L35" s="8">
        <f t="shared" si="10"/>
        <v>0.4829884669711952</v>
      </c>
      <c r="M35" s="8">
        <f t="shared" si="11"/>
        <v>0.030346191842030617</v>
      </c>
      <c r="N35" s="8">
        <f t="shared" si="12"/>
        <v>0.29860120867997825</v>
      </c>
      <c r="O35" s="8">
        <f t="shared" si="13"/>
        <v>0.9656909730347035</v>
      </c>
      <c r="P35" s="8">
        <f t="shared" si="14"/>
        <v>0.9659769339423904</v>
      </c>
      <c r="R35" s="8">
        <f t="shared" si="15"/>
        <v>2.234049109525439</v>
      </c>
      <c r="S35">
        <f t="shared" si="16"/>
        <v>26.4</v>
      </c>
      <c r="T35" s="8">
        <f t="shared" si="17"/>
        <v>-0.2555896669670662</v>
      </c>
      <c r="U35" s="8">
        <v>1</v>
      </c>
      <c r="V35" s="8">
        <v>1</v>
      </c>
      <c r="W35" s="8">
        <v>1</v>
      </c>
    </row>
    <row r="36" spans="1:23" ht="12.75">
      <c r="A36">
        <v>100</v>
      </c>
      <c r="B36">
        <f t="shared" si="0"/>
        <v>9.999999999999999E-05</v>
      </c>
      <c r="C36" s="13">
        <f t="shared" si="1"/>
        <v>0.0006637345667159202</v>
      </c>
      <c r="D36" s="5">
        <f t="shared" si="2"/>
        <v>1.001668628700724</v>
      </c>
      <c r="E36" s="8">
        <f t="shared" si="3"/>
        <v>0.030346191842030617</v>
      </c>
      <c r="F36" s="8">
        <f t="shared" si="4"/>
        <v>0.2978397867334078</v>
      </c>
      <c r="G36" s="8">
        <f t="shared" si="5"/>
        <v>1.9264569941328484</v>
      </c>
      <c r="H36" s="8">
        <f t="shared" si="6"/>
        <v>1.9287408767906637</v>
      </c>
      <c r="I36" s="8">
        <f t="shared" si="7"/>
        <v>0.060692383684061234</v>
      </c>
      <c r="J36" s="8">
        <f t="shared" si="8"/>
        <v>0.5960326730303146</v>
      </c>
      <c r="K36" s="8">
        <f t="shared" si="9"/>
        <v>3.8551978709235124</v>
      </c>
      <c r="L36" s="8">
        <f t="shared" si="10"/>
        <v>3.8574817535813275</v>
      </c>
      <c r="M36" s="8">
        <f t="shared" si="11"/>
        <v>0.12138476736812247</v>
      </c>
      <c r="N36" s="8">
        <f t="shared" si="12"/>
        <v>1.1924184456241282</v>
      </c>
      <c r="O36" s="8">
        <f t="shared" si="13"/>
        <v>7.7126796245048395</v>
      </c>
      <c r="P36" s="8">
        <f t="shared" si="14"/>
        <v>7.714963507162655</v>
      </c>
      <c r="R36" s="8">
        <f t="shared" si="15"/>
        <v>5.468098219050878</v>
      </c>
      <c r="S36">
        <f t="shared" si="16"/>
        <v>26.4</v>
      </c>
      <c r="T36" s="8">
        <f t="shared" si="17"/>
        <v>0.05187941737303836</v>
      </c>
      <c r="U36" s="8">
        <v>1</v>
      </c>
      <c r="V36" s="8">
        <v>1</v>
      </c>
      <c r="W36" s="8">
        <v>1</v>
      </c>
    </row>
    <row r="37" spans="1:23" ht="12.75">
      <c r="A37">
        <v>200</v>
      </c>
      <c r="B37">
        <f t="shared" si="0"/>
        <v>0.00019999999999999998</v>
      </c>
      <c r="C37" s="13">
        <f t="shared" si="1"/>
        <v>0.0003318672833579601</v>
      </c>
      <c r="D37" s="5">
        <f t="shared" si="2"/>
        <v>1.000834314350362</v>
      </c>
      <c r="E37" s="8">
        <f t="shared" si="3"/>
        <v>0.12138476736812247</v>
      </c>
      <c r="F37" s="8">
        <f t="shared" si="4"/>
        <v>1.1903668347015797</v>
      </c>
      <c r="G37" s="8">
        <f t="shared" si="5"/>
        <v>15.398819207101036</v>
      </c>
      <c r="H37" s="8">
        <f t="shared" si="6"/>
        <v>15.417075049948842</v>
      </c>
      <c r="I37" s="8">
        <f t="shared" si="7"/>
        <v>0.24276953473624494</v>
      </c>
      <c r="J37" s="8">
        <f t="shared" si="8"/>
        <v>2.382144891236034</v>
      </c>
      <c r="K37" s="8">
        <f t="shared" si="9"/>
        <v>30.81589425704988</v>
      </c>
      <c r="L37" s="8">
        <f t="shared" si="10"/>
        <v>30.834150099897684</v>
      </c>
      <c r="M37" s="8">
        <f t="shared" si="11"/>
        <v>0.48553906947248987</v>
      </c>
      <c r="N37" s="8">
        <f t="shared" si="12"/>
        <v>4.765701004304943</v>
      </c>
      <c r="O37" s="8">
        <f t="shared" si="13"/>
        <v>61.65004435694757</v>
      </c>
      <c r="P37" s="8">
        <f t="shared" si="14"/>
        <v>61.66830019979537</v>
      </c>
      <c r="R37" s="8">
        <f t="shared" si="15"/>
        <v>11.936196438101756</v>
      </c>
      <c r="S37">
        <f t="shared" si="16"/>
        <v>26.4</v>
      </c>
      <c r="T37" s="8">
        <f t="shared" si="17"/>
        <v>0.48696248716190604</v>
      </c>
      <c r="U37" s="8">
        <v>1</v>
      </c>
      <c r="V37" s="8">
        <v>1</v>
      </c>
      <c r="W37" s="8">
        <v>1</v>
      </c>
    </row>
    <row r="38" spans="1:23" ht="12.75">
      <c r="A38">
        <v>500</v>
      </c>
      <c r="B38">
        <f t="shared" si="0"/>
        <v>0.0005</v>
      </c>
      <c r="C38" s="13">
        <f t="shared" si="1"/>
        <v>0.000132746913343184</v>
      </c>
      <c r="D38" s="5">
        <f t="shared" si="2"/>
        <v>1.0003337257401448</v>
      </c>
      <c r="E38" s="8">
        <f t="shared" si="3"/>
        <v>0.7586547960507656</v>
      </c>
      <c r="F38" s="8">
        <f t="shared" si="4"/>
        <v>7.4360715460146825</v>
      </c>
      <c r="G38" s="8">
        <f t="shared" si="5"/>
        <v>240.48620561756246</v>
      </c>
      <c r="H38" s="8">
        <f t="shared" si="6"/>
        <v>240.77131048942127</v>
      </c>
      <c r="I38" s="8">
        <f t="shared" si="7"/>
        <v>1.5173095921015312</v>
      </c>
      <c r="J38" s="8">
        <f t="shared" si="8"/>
        <v>14.880958816905625</v>
      </c>
      <c r="K38" s="8">
        <f t="shared" si="9"/>
        <v>481.2575161069838</v>
      </c>
      <c r="L38" s="8">
        <f t="shared" si="10"/>
        <v>481.54262097884254</v>
      </c>
      <c r="M38" s="8">
        <f t="shared" si="11"/>
        <v>3.0346191842030623</v>
      </c>
      <c r="N38" s="8">
        <f t="shared" si="12"/>
        <v>29.77073335868751</v>
      </c>
      <c r="O38" s="8">
        <f t="shared" si="13"/>
        <v>962.8001370858265</v>
      </c>
      <c r="P38" s="8">
        <f t="shared" si="14"/>
        <v>963.0852419576851</v>
      </c>
      <c r="R38" s="8">
        <f t="shared" si="15"/>
        <v>31.340491095254393</v>
      </c>
      <c r="S38">
        <f t="shared" si="16"/>
        <v>26.4</v>
      </c>
      <c r="T38" s="8">
        <f t="shared" si="17"/>
        <v>1.3505060788748788</v>
      </c>
      <c r="U38" s="8">
        <v>1</v>
      </c>
      <c r="V38" s="8">
        <v>1</v>
      </c>
      <c r="W38" s="8">
        <v>1</v>
      </c>
    </row>
    <row r="39" spans="1:23" ht="12.75">
      <c r="A39">
        <v>1000</v>
      </c>
      <c r="B39">
        <f t="shared" si="0"/>
        <v>0.001</v>
      </c>
      <c r="C39" s="13">
        <f t="shared" si="1"/>
        <v>6.6373456671592E-05</v>
      </c>
      <c r="D39" s="5">
        <f t="shared" si="2"/>
        <v>1.0001668628700724</v>
      </c>
      <c r="E39" s="8">
        <f t="shared" si="3"/>
        <v>3.0346191842030623</v>
      </c>
      <c r="F39" s="8">
        <f t="shared" si="4"/>
        <v>29.73932462289847</v>
      </c>
      <c r="G39" s="8">
        <f t="shared" si="5"/>
        <v>1923.5687262914555</v>
      </c>
      <c r="H39" s="8">
        <f t="shared" si="6"/>
        <v>1925.8491848059584</v>
      </c>
      <c r="I39" s="8">
        <f t="shared" si="7"/>
        <v>6.069238368406125</v>
      </c>
      <c r="J39" s="8">
        <f t="shared" si="8"/>
        <v>59.51390626319638</v>
      </c>
      <c r="K39" s="8">
        <f t="shared" si="9"/>
        <v>3849.4179110974146</v>
      </c>
      <c r="L39" s="8">
        <f t="shared" si="10"/>
        <v>3851.698369611917</v>
      </c>
      <c r="M39" s="8">
        <f t="shared" si="11"/>
        <v>12.13847673681225</v>
      </c>
      <c r="N39" s="8">
        <f t="shared" si="12"/>
        <v>119.06306954379218</v>
      </c>
      <c r="O39" s="8">
        <f t="shared" si="13"/>
        <v>7701.116280709332</v>
      </c>
      <c r="P39" s="8">
        <f t="shared" si="14"/>
        <v>7703.396739223834</v>
      </c>
      <c r="R39" s="8">
        <f t="shared" si="15"/>
        <v>63.680982190508786</v>
      </c>
      <c r="S39">
        <f t="shared" si="16"/>
        <v>26.4</v>
      </c>
      <c r="T39" s="8">
        <f t="shared" si="17"/>
        <v>2.323840320246469</v>
      </c>
      <c r="U39" s="8">
        <v>1</v>
      </c>
      <c r="V39" s="8">
        <v>1</v>
      </c>
      <c r="W39" s="8">
        <v>1</v>
      </c>
    </row>
    <row r="41" ht="15.75">
      <c r="A41" s="2" t="s">
        <v>27</v>
      </c>
    </row>
    <row r="42" ht="12.75">
      <c r="A42" t="s">
        <v>56</v>
      </c>
    </row>
    <row r="61" ht="14.25">
      <c r="A61" s="2" t="s">
        <v>57</v>
      </c>
    </row>
    <row r="62" ht="14.25">
      <c r="A62" s="2" t="s">
        <v>58</v>
      </c>
    </row>
    <row r="64" spans="1:5" ht="14.25">
      <c r="A64" s="1" t="s">
        <v>3</v>
      </c>
      <c r="B64" s="1" t="s">
        <v>26</v>
      </c>
      <c r="C64" s="1" t="s">
        <v>18</v>
      </c>
      <c r="E64" s="17" t="s">
        <v>59</v>
      </c>
    </row>
    <row r="65" spans="1:3" ht="12.75">
      <c r="A65">
        <v>10</v>
      </c>
      <c r="B65" s="8">
        <v>0.001954</v>
      </c>
      <c r="C65" s="8">
        <v>0.003022</v>
      </c>
    </row>
    <row r="66" spans="1:3" ht="12.75">
      <c r="A66">
        <v>20</v>
      </c>
      <c r="B66">
        <v>0.01546</v>
      </c>
      <c r="C66">
        <v>0.01195</v>
      </c>
    </row>
    <row r="67" spans="1:3" ht="12.75">
      <c r="A67">
        <v>50</v>
      </c>
      <c r="B67">
        <v>0.2313</v>
      </c>
      <c r="C67">
        <v>0.07152</v>
      </c>
    </row>
    <row r="68" spans="1:3" ht="12.75">
      <c r="A68">
        <v>100</v>
      </c>
      <c r="B68">
        <v>1.601</v>
      </c>
      <c r="C68">
        <v>0.2475</v>
      </c>
    </row>
    <row r="69" spans="1:3" ht="12.75">
      <c r="A69">
        <v>200</v>
      </c>
      <c r="B69">
        <v>8.994</v>
      </c>
      <c r="C69">
        <v>0.6952</v>
      </c>
    </row>
    <row r="70" spans="1:3" ht="12.75">
      <c r="A70">
        <v>500</v>
      </c>
      <c r="B70">
        <v>63.06</v>
      </c>
      <c r="C70">
        <v>1.95</v>
      </c>
    </row>
    <row r="71" spans="1:3" ht="12.75">
      <c r="A71">
        <v>1000</v>
      </c>
      <c r="B71">
        <v>229.6</v>
      </c>
      <c r="C71">
        <v>3.549</v>
      </c>
    </row>
    <row r="72" spans="1:3" ht="12.75">
      <c r="A72">
        <v>2000</v>
      </c>
      <c r="B72">
        <v>758.5</v>
      </c>
      <c r="C72">
        <v>5.863</v>
      </c>
    </row>
    <row r="73" spans="1:3" ht="12.75">
      <c r="A73">
        <v>5000</v>
      </c>
      <c r="B73">
        <v>3368</v>
      </c>
      <c r="C73">
        <v>10.41</v>
      </c>
    </row>
    <row r="74" spans="1:3" ht="12.75">
      <c r="A74">
        <v>10000</v>
      </c>
      <c r="B74">
        <v>9998</v>
      </c>
      <c r="C74">
        <v>15.46</v>
      </c>
    </row>
  </sheetData>
  <printOptions/>
  <pageMargins left="0.75" right="0.5" top="0.5" bottom="0.5" header="0" footer="0"/>
  <pageSetup fitToHeight="1" fitToWidth="1"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&amp; Nuc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Cimbala</dc:creator>
  <cp:keywords/>
  <dc:description/>
  <cp:lastModifiedBy>John M. Cimbala</cp:lastModifiedBy>
  <cp:lastPrinted>2002-03-29T21:19:24Z</cp:lastPrinted>
  <dcterms:created xsi:type="dcterms:W3CDTF">2001-11-07T01:26:08Z</dcterms:created>
  <dcterms:modified xsi:type="dcterms:W3CDTF">2002-03-29T21:19:31Z</dcterms:modified>
  <cp:category/>
  <cp:version/>
  <cp:contentType/>
  <cp:contentStatus/>
</cp:coreProperties>
</file>